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ate1904="1" codeName="ThisWorkbook"/>
  <mc:AlternateContent xmlns:mc="http://schemas.openxmlformats.org/markup-compatibility/2006">
    <mc:Choice Requires="x15">
      <x15ac:absPath xmlns:x15ac="http://schemas.microsoft.com/office/spreadsheetml/2010/11/ac" url="C:\Users\frederic.clerbaux.UNIPSO.LOCAL\OneDrive - UNIPSO ASBL\Réforme APE\"/>
    </mc:Choice>
  </mc:AlternateContent>
  <xr:revisionPtr revIDLastSave="0" documentId="13_ncr:1_{4181751A-2726-4694-8B2F-52F8BDF6840D}" xr6:coauthVersionLast="46" xr6:coauthVersionMax="46" xr10:uidLastSave="{00000000-0000-0000-0000-000000000000}"/>
  <bookViews>
    <workbookView xWindow="-110" yWindow="-110" windowWidth="19420" windowHeight="10420" tabRatio="809" xr2:uid="{00000000-000D-0000-FFFF-FFFF00000000}"/>
  </bookViews>
  <sheets>
    <sheet name="Instructions" sheetId="118" r:id="rId1"/>
    <sheet name="Données FOREm &amp; Simul. UNIPSO" sheetId="117" r:id="rId2"/>
    <sheet name="Simulateur UNIPSO" sheetId="112" r:id="rId3"/>
    <sheet name="Indexation" sheetId="22" state="hidden" r:id="rId4"/>
    <sheet name="Variables M" sheetId="37" state="hidden" r:id="rId5"/>
    <sheet name="Evolutions barémique" sheetId="115" state="hidden" r:id="rId6"/>
  </sheets>
  <externalReferences>
    <externalReference r:id="rId7"/>
    <externalReference r:id="rId8"/>
    <externalReference r:id="rId9"/>
  </externalReferences>
  <definedNames>
    <definedName name="_xlnm._FilterDatabase" localSheetId="5" hidden="1">'Evolutions barémique'!$F$4:$G$10</definedName>
    <definedName name="_SUB14" localSheetId="5">'[1]P.S.C. 305.2'!#REF!</definedName>
    <definedName name="_SUB14">'[1]P.S.C. 305.2'!#REF!</definedName>
    <definedName name="_SUB24" localSheetId="5">'[1]P.S.C. 305.2'!#REF!</definedName>
    <definedName name="_SUB24">'[1]P.S.C. 305.2'!#REF!</definedName>
    <definedName name="_SUB30">'[1]P.S.C. 305.2'!#REF!</definedName>
    <definedName name="_SUB31">'[1]P.S.C. 305.2'!#REF!</definedName>
    <definedName name="_SUB39">'[1]P.S.C. 305.2'!#REF!</definedName>
    <definedName name="_SUB45">'[1]P.S.C. 305.2'!#REF!</definedName>
    <definedName name="_SUB47">'[1]P.S.C. 305.2'!#REF!</definedName>
    <definedName name="_SUB53">'[1]P.S.C. 305.2'!#REF!</definedName>
    <definedName name="_SUB54">'[1]P.S.C. 305.2'!#REF!</definedName>
    <definedName name="_SUB62">'[1]P.S.C. 305.2'!#REF!</definedName>
    <definedName name="_SUB63">'[1]P.S.C. 305.2'!#REF!</definedName>
    <definedName name="_SUB66">'[1]P.S.C. 305.2'!#REF!</definedName>
    <definedName name="_SUB81">'[1]P.S.C. 305.2'!#REF!</definedName>
    <definedName name="Coeff_index" localSheetId="4">'Variables M'!$B$44</definedName>
    <definedName name="Coeff_index">'Variables M'!$B$44</definedName>
    <definedName name="Coefficient_indexation">[2]paramètres!#REF!</definedName>
    <definedName name="Coefficient_indexation_2020_2021" localSheetId="5">'[3]Variables M'!$B$43</definedName>
    <definedName name="Coefficient_indexation_2020_2021">'Variables M'!$B$45</definedName>
    <definedName name="_xlnm.Criteria">'[1]P.S.C. 305.2'!#REF!</definedName>
    <definedName name="Depassement" localSheetId="5">#REF!</definedName>
    <definedName name="Depassement" localSheetId="4">'Variables M'!$B$10</definedName>
    <definedName name="Depassement">#REF!</definedName>
    <definedName name="_xlnm.Extract" localSheetId="5">'[1]P.S.C. 305.2'!#REF!</definedName>
    <definedName name="_xlnm.Extract">'[1]P.S.C. 305.2'!#REF!</definedName>
    <definedName name="heures_par_an" localSheetId="5">[2]paramètres!#REF!</definedName>
    <definedName name="heures_par_an">[2]paramètres!#REF!</definedName>
    <definedName name="heures_par_mois">[2]paramètres!#REF!</definedName>
    <definedName name="heures_par_semaine">[2]paramètres!#REF!</definedName>
    <definedName name="Index_vers_2020" localSheetId="5">#REF!</definedName>
    <definedName name="Index_vers_2020" localSheetId="4">'Variables M'!$B$6</definedName>
    <definedName name="Index_vers_2020">#REF!</definedName>
    <definedName name="Indexation">"Index_vers_2020"</definedName>
    <definedName name="Mois_index_2018" localSheetId="5">#REF!</definedName>
    <definedName name="Mois_index_2018" localSheetId="4">'Variables M'!$B$40</definedName>
    <definedName name="Mois_index_2018">#REF!</definedName>
    <definedName name="Mois_index_2018_lettres" localSheetId="5">#REF!</definedName>
    <definedName name="Mois_index_2018_lettres" localSheetId="4">'Variables M'!#REF!</definedName>
    <definedName name="Mois_index_2018_lettres">#REF!</definedName>
    <definedName name="Mois_index_2020">'Variables M'!$B$41</definedName>
    <definedName name="Mois_index_2022">'Variables M'!#REF!</definedName>
    <definedName name="Point_2015" localSheetId="4">'Variables M'!#REF!</definedName>
    <definedName name="Point_2015">#REF!</definedName>
    <definedName name="Point_2016" localSheetId="4">'Variables M'!#REF!</definedName>
    <definedName name="Point_2016">#REF!</definedName>
    <definedName name="Point_2017" localSheetId="5">'[3]Variables M'!$B$10</definedName>
    <definedName name="Point_2017" localSheetId="4">'Variables M'!$B$12</definedName>
    <definedName name="Point_2017">'Variables M'!$B$12</definedName>
    <definedName name="Point_2018" localSheetId="5">'[3]Variables M'!$B$11</definedName>
    <definedName name="Point_2018" localSheetId="4">'Variables M'!$B$13</definedName>
    <definedName name="Point_2018">'Variables M'!$B$13</definedName>
    <definedName name="Point_2019" localSheetId="5">'[3]Variables M'!$B$12</definedName>
    <definedName name="Point_2019" localSheetId="4">'Variables M'!$B$14</definedName>
    <definedName name="Point_2019">'Variables M'!$B$14</definedName>
    <definedName name="Point_2019_est" localSheetId="5">#REF!</definedName>
    <definedName name="Point_2019_est" localSheetId="4">'Variables M'!$B$14</definedName>
    <definedName name="Point_2019_est">#REF!</definedName>
    <definedName name="Point_2020" localSheetId="4">'Variables M'!$B$15</definedName>
    <definedName name="Point_2020">'Variables M'!$B$15</definedName>
    <definedName name="Point_2021">'Variables M'!$B$16</definedName>
    <definedName name="Point_2022" localSheetId="5">'[3]Variables M'!$B$15</definedName>
    <definedName name="Point_2022">'Variables M'!$B$17</definedName>
    <definedName name="Point_moyen" localSheetId="5">#REF!</definedName>
    <definedName name="Point_moyen" localSheetId="4">'Variables M'!$B$9</definedName>
    <definedName name="Point_moyen">#REF!</definedName>
    <definedName name="SUB61_77" localSheetId="5">'[1]P.S.C. 305.2'!#REF!</definedName>
    <definedName name="SUB61_77">'[1]P.S.C. 305.2'!#REF!</definedName>
    <definedName name="SUB78S" localSheetId="5">'[1]P.S.C. 305.2'!#REF!</definedName>
    <definedName name="SUB78S">'[1]P.S.C. 305.2'!#REF!</definedName>
    <definedName name="Tx_moyen_dérive_baremique" localSheetId="5">'[3]Variables M'!$B$6</definedName>
    <definedName name="Tx_moyen_dérive_baremique" localSheetId="4">'Variables M'!$B$8</definedName>
    <definedName name="Tx_moyen_dérive_baremique">'Variables M'!$B$8</definedName>
    <definedName name="TxSubSPS">'Variables M'!$B$4</definedName>
    <definedName name="VarG">'Variables M'!$B$5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2" i="112" l="1"/>
  <c r="G6" i="115" l="1"/>
  <c r="K22" i="117"/>
  <c r="H51" i="112" s="1"/>
  <c r="I13" i="117"/>
  <c r="E56" i="112" l="1"/>
  <c r="E46" i="112"/>
  <c r="B9" i="112"/>
  <c r="I16" i="117"/>
  <c r="I11" i="117" l="1"/>
  <c r="B28" i="112" s="1"/>
  <c r="I10" i="117"/>
  <c r="B25" i="112" s="1"/>
  <c r="F7" i="117"/>
  <c r="F6" i="117"/>
  <c r="B67" i="112" l="1"/>
  <c r="B66" i="112"/>
  <c r="B45" i="37" l="1"/>
  <c r="B44" i="37"/>
  <c r="B74" i="112"/>
  <c r="G8" i="115"/>
  <c r="E48" i="112"/>
  <c r="E47" i="112"/>
  <c r="H61" i="112"/>
  <c r="H60" i="112"/>
  <c r="H59" i="112"/>
  <c r="H56" i="112"/>
  <c r="H55" i="112"/>
  <c r="H54" i="112"/>
  <c r="E58" i="112"/>
  <c r="E57" i="112"/>
  <c r="B57" i="112"/>
  <c r="B56" i="112"/>
  <c r="B55" i="112"/>
  <c r="B54" i="112"/>
  <c r="B53" i="112"/>
  <c r="B52" i="112"/>
  <c r="B46" i="112" s="1"/>
  <c r="B13" i="112"/>
  <c r="G9" i="115"/>
  <c r="B70" i="112" s="1"/>
  <c r="G7" i="115"/>
  <c r="H58" i="112" l="1"/>
  <c r="H46" i="112"/>
  <c r="E51" i="112"/>
  <c r="H53" i="112"/>
  <c r="B34" i="112"/>
  <c r="F8" i="117"/>
  <c r="E55" i="112"/>
  <c r="D14" i="115"/>
  <c r="B2" i="112" l="1"/>
  <c r="K21" i="117" s="1"/>
  <c r="B76" i="112" s="1"/>
  <c r="B43" i="112"/>
  <c r="A36" i="112" l="1"/>
  <c r="B37" i="112" l="1"/>
  <c r="B51" i="112"/>
  <c r="B48" i="112"/>
  <c r="B47" i="112"/>
  <c r="A42" i="112"/>
  <c r="A39" i="112"/>
  <c r="A33" i="112"/>
  <c r="A30" i="112"/>
  <c r="A27" i="112"/>
  <c r="B69" i="112" l="1"/>
  <c r="I14" i="117"/>
  <c r="H48" i="112"/>
  <c r="E53" i="112"/>
  <c r="H47" i="112"/>
  <c r="E52" i="112"/>
  <c r="B45" i="112"/>
  <c r="B31" i="112" s="1"/>
  <c r="B40" i="112" l="1"/>
  <c r="I12" i="117"/>
  <c r="L12" i="117" s="1"/>
  <c r="E29" i="37"/>
  <c r="I15" i="117" l="1"/>
  <c r="L16" i="117" s="1"/>
  <c r="B71" i="112"/>
  <c r="B75" i="112" s="1"/>
  <c r="B77" i="112" s="1"/>
  <c r="B46" i="37"/>
  <c r="K25" i="22" l="1"/>
  <c r="E20" i="22"/>
  <c r="H36" i="22" s="1"/>
  <c r="B17" i="37" l="1"/>
  <c r="C15" i="37"/>
  <c r="C14" i="37"/>
  <c r="B16" i="37"/>
  <c r="D40" i="37"/>
  <c r="C36" i="37"/>
  <c r="B11" i="37"/>
  <c r="E35" i="22"/>
  <c r="E36" i="22" s="1"/>
  <c r="E37" i="22" s="1"/>
  <c r="E38" i="22" s="1"/>
  <c r="H35" i="22"/>
  <c r="A67" i="112" l="1" a="1"/>
  <c r="A67" i="112" s="1"/>
  <c r="E39" i="22"/>
  <c r="E40" i="22" s="1"/>
  <c r="E41" i="22" s="1"/>
  <c r="E42" i="22" s="1"/>
  <c r="E43" i="22" s="1"/>
  <c r="E44" i="22" s="1"/>
  <c r="E45" i="22" s="1"/>
  <c r="E46" i="22" s="1"/>
  <c r="E47" i="22" s="1"/>
  <c r="E48" i="22" s="1"/>
  <c r="E49" i="22" s="1"/>
  <c r="H37" i="22"/>
  <c r="B19" i="112" l="1"/>
  <c r="B78" i="112" s="1"/>
  <c r="B79" i="112" s="1"/>
  <c r="B80" i="112" s="1"/>
  <c r="E50" i="22"/>
  <c r="C48" i="22"/>
  <c r="C49" i="22" s="1"/>
  <c r="H38" i="22"/>
  <c r="B20" i="112" l="1"/>
  <c r="L18" i="117" s="1"/>
  <c r="L7" i="117"/>
  <c r="E51" i="22"/>
  <c r="E52" i="22" s="1"/>
  <c r="E53" i="22" s="1"/>
  <c r="E54" i="22" s="1"/>
  <c r="E55" i="22" s="1"/>
  <c r="E56" i="22" s="1"/>
  <c r="E57" i="22" s="1"/>
  <c r="E58" i="22" s="1"/>
  <c r="E59" i="22" s="1"/>
  <c r="E60" i="22" s="1"/>
  <c r="E61" i="22" s="1"/>
  <c r="E62" i="22" s="1"/>
  <c r="B21" i="112" l="1"/>
  <c r="E63" i="22"/>
  <c r="E64" i="22" s="1"/>
  <c r="E65" i="22" s="1"/>
  <c r="E66" i="22" s="1"/>
  <c r="E67" i="22" s="1"/>
  <c r="E68" i="22" s="1"/>
  <c r="E69" i="22" s="1"/>
  <c r="H39" i="22"/>
  <c r="L19" i="117" l="1"/>
  <c r="E70" i="22"/>
  <c r="E71" i="22" l="1"/>
  <c r="E72" i="22" s="1"/>
  <c r="E73" i="22" s="1"/>
  <c r="E74" i="22" s="1"/>
  <c r="E75" i="22" s="1"/>
  <c r="E76" i="22" s="1"/>
  <c r="E77" i="22" s="1"/>
  <c r="E78" i="22" s="1"/>
  <c r="E79" i="22" s="1"/>
  <c r="E80" i="22" s="1"/>
  <c r="E81" i="22" s="1"/>
  <c r="E82" i="22" s="1"/>
  <c r="E83" i="22" s="1"/>
  <c r="E84" i="22" s="1"/>
  <c r="E85" i="22" s="1"/>
  <c r="H41" i="22" l="1"/>
  <c r="I41" i="22" s="1"/>
  <c r="H4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Mathieu de Poorter</author>
  </authors>
  <commentList>
    <comment ref="A6" authorId="0" shapeId="0" xr:uid="{92416969-B212-41A0-90E0-7BEABBF96023}">
      <text>
        <r>
          <rPr>
            <sz val="9"/>
            <color indexed="81"/>
            <rFont val="Tahoma"/>
            <family val="2"/>
          </rPr>
          <t>Montant total dont un employeur bénéficiera grâce à ses points APE en 2022</t>
        </r>
      </text>
    </comment>
    <comment ref="A8" authorId="0" shapeId="0" xr:uid="{09959025-82F6-48DD-AD49-1E70D4A4DCEC}">
      <text>
        <r>
          <rPr>
            <sz val="9"/>
            <color indexed="81"/>
            <rFont val="Tahoma"/>
            <family val="2"/>
          </rPr>
          <t>Valeur calculée selon l'évolution de l'indice santé</t>
        </r>
      </text>
    </comment>
    <comment ref="A9" authorId="0" shapeId="0" xr:uid="{3EF3D205-7381-406D-A5B4-036268164977}">
      <text>
        <r>
          <rPr>
            <sz val="9"/>
            <color indexed="81"/>
            <rFont val="Tahoma"/>
            <family val="2"/>
          </rPr>
          <t>Ce taux est calculé en divisant le nombre total de points subventionnés, sur l’ensemble de la période, par le nombre total de points octroyés durant la même période.</t>
        </r>
      </text>
    </comment>
    <comment ref="A10" authorId="0" shapeId="0" xr:uid="{CD802442-344F-4668-8866-12DD632074FB}">
      <text>
        <r>
          <rPr>
            <sz val="9"/>
            <color indexed="81"/>
            <rFont val="Tahoma"/>
            <family val="2"/>
          </rPr>
          <t>Montant des RCSS pour l'ensemble des travailleurs APE</t>
        </r>
      </text>
    </comment>
    <comment ref="A11" authorId="0" shapeId="0" xr:uid="{B9D2EC77-6441-4DF8-8019-5188BD70620F}">
      <text>
        <r>
          <rPr>
            <sz val="9"/>
            <color indexed="81"/>
            <rFont val="Tahoma"/>
            <family val="2"/>
          </rPr>
          <t>Nombre d’équivalents temps plein « réalisés » ; c’est-à-dire des travailleurs sous contrat de travail APE en fonction de leur régime de travail, indépendamment de prestations rémunérées ou pas.</t>
        </r>
      </text>
    </comment>
    <comment ref="A12" authorId="0" shapeId="0" xr:uid="{778DE8E7-A66D-4BD9-BFAE-63035903008D}">
      <text>
        <r>
          <rPr>
            <sz val="9"/>
            <color indexed="81"/>
            <rFont val="Tahoma"/>
            <family val="2"/>
          </rPr>
          <t>Montant des RCSS, par ETP « subventionné » ; c’est-à-dire des travailleurs sous contrat de travail APE en fonction de leur régime de travail, en tenant uniquement compte des prestations faisant l’objet d’une rémunération.</t>
        </r>
      </text>
    </comment>
    <comment ref="A13" authorId="0" shapeId="0" xr:uid="{C9BE811D-2819-41E8-895E-D9A7D3D6A247}">
      <text>
        <r>
          <rPr>
            <sz val="9"/>
            <color indexed="81"/>
            <rFont val="Tahoma"/>
            <family val="2"/>
          </rPr>
          <t>Taux d’occupation moyen de l’employeur durant les années de référence (2017, 2018 et 2019).</t>
        </r>
      </text>
    </comment>
    <comment ref="A14" authorId="0" shapeId="0" xr:uid="{ADEAEE91-FF62-49BA-BFB8-B5B8092413A4}">
      <text>
        <r>
          <rPr>
            <sz val="9"/>
            <color indexed="81"/>
            <rFont val="Tahoma"/>
            <family val="2"/>
          </rPr>
          <t>Variable permettant de tenir compte de l’indexation des salaires à partir du 1er janvier 2020</t>
        </r>
      </text>
    </comment>
    <comment ref="A45" authorId="0" shapeId="0" xr:uid="{4F775173-2882-459B-9F65-8A98A7BA7A4A}">
      <text>
        <r>
          <rPr>
            <sz val="9"/>
            <color indexed="81"/>
            <rFont val="Tahoma"/>
            <family val="2"/>
          </rPr>
          <t>Point subventionné : point payé par le FOREm, tenant compte des absences non rémunérées par l'employeur.
Point subventionné = montant effectivement payé par le FOREm / Valeur du point sur la même période</t>
        </r>
      </text>
    </comment>
    <comment ref="D55" authorId="0" shapeId="0" xr:uid="{AE7DA8C9-8C69-4931-8156-4DED545AED51}">
      <text>
        <r>
          <rPr>
            <sz val="9"/>
            <color indexed="81"/>
            <rFont val="Tahoma"/>
            <family val="2"/>
          </rPr>
          <t>Point réalisé : point attribué à un travailleur, tenant compte de son régime de travail</t>
        </r>
      </text>
    </comment>
    <comment ref="G58" authorId="0" shapeId="0" xr:uid="{BCADAA3C-7619-40F7-A7AB-B7419FD7465F}">
      <text>
        <r>
          <rPr>
            <sz val="9"/>
            <color indexed="81"/>
            <rFont val="Tahoma"/>
            <family val="2"/>
          </rPr>
          <t>Point octroyé : point figurant dans la décision ministériel d'octroi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Mathieu de Poorter</author>
  </authors>
  <commentList>
    <comment ref="J25" authorId="0" shapeId="0" xr:uid="{00000000-0006-0000-0100-000001000000}">
      <text>
        <r>
          <rPr>
            <sz val="9"/>
            <color indexed="81"/>
            <rFont val="Tahoma"/>
            <family val="2"/>
          </rPr>
          <t>2017 : 1,01 (6 premiers mois), puis 1,02 au 1/7
2018 : 1,02 au 1/10
2020 : 1,02 au 1/4
2022 : 1,02 au 1/2 (prévision BFP)</t>
        </r>
      </text>
    </comment>
  </commentList>
</comments>
</file>

<file path=xl/sharedStrings.xml><?xml version="1.0" encoding="utf-8"?>
<sst xmlns="http://schemas.openxmlformats.org/spreadsheetml/2006/main" count="220" uniqueCount="183">
  <si>
    <t>Formule</t>
  </si>
  <si>
    <t>Valeur moyenne du point non ma</t>
  </si>
  <si>
    <t>Taux de dépassement</t>
  </si>
  <si>
    <t>Variables utilisées et dates de mise à jour</t>
  </si>
  <si>
    <t>Variable</t>
  </si>
  <si>
    <t>MAJ</t>
  </si>
  <si>
    <t>Valeur du point 2017</t>
  </si>
  <si>
    <t>Tx dépassement * valeur moyenne du point</t>
  </si>
  <si>
    <t>Valeur du point 2018</t>
  </si>
  <si>
    <t>Données</t>
  </si>
  <si>
    <t>Taux moyen évolution barémique sur 4.1 et 4.2</t>
  </si>
  <si>
    <t>Indice santé lissé 12-2016</t>
  </si>
  <si>
    <t>Indice santé lissé 12-2018</t>
  </si>
  <si>
    <t>Indice santé lissé 09-2018</t>
  </si>
  <si>
    <t>Indice santé lissé 10-2018</t>
  </si>
  <si>
    <t>Indice santé lissé 09-2017</t>
  </si>
  <si>
    <t>Indice santé lissé 10-2017</t>
  </si>
  <si>
    <t>Mois d'indexation en 2018</t>
  </si>
  <si>
    <t>Ajout 'un % non pris en compte sur indexation 2016</t>
  </si>
  <si>
    <t>Moyennes</t>
  </si>
  <si>
    <t>Cette feuille est protégée mais vous pouvez la déverrouiller sans mot de passe.</t>
  </si>
  <si>
    <t>Indice santé lissé 09-2019</t>
  </si>
  <si>
    <t>Indice santé lissé 12-2019</t>
  </si>
  <si>
    <t>Indice santé lissé 10-2019</t>
  </si>
  <si>
    <t>Coefficient indexation réelle des rémunérations 2017-2018-2019</t>
  </si>
  <si>
    <t>Taux d'indexation de 2015-2016 vers 1-01-2020</t>
  </si>
  <si>
    <t>Taux d'indexation estimé pour passer du 31-12-2018 au 1-01-2020</t>
  </si>
  <si>
    <t>Indice santé lissé 09-2020</t>
  </si>
  <si>
    <t>Indice santé lissé 10-2020</t>
  </si>
  <si>
    <t>Points octroyés</t>
  </si>
  <si>
    <t>≠ 01-2017 | 12-2019</t>
  </si>
  <si>
    <t xml:space="preserve">Valeur du point 2019 </t>
  </si>
  <si>
    <t>Valeur du point 2020</t>
  </si>
  <si>
    <t>Mois d'indexation en 2020</t>
  </si>
  <si>
    <t>avril</t>
  </si>
  <si>
    <t>Valeur du point 2021 estimée</t>
  </si>
  <si>
    <t>Valeur du point 2022 estimée</t>
  </si>
  <si>
    <t>Indexations 2017-2022</t>
  </si>
  <si>
    <t>MAJ 07-2020</t>
  </si>
  <si>
    <t>Indice santé lissé 09-2022</t>
  </si>
  <si>
    <t>Indice santé lissé 10-2022</t>
  </si>
  <si>
    <t>Indice santé lissé 09-2021</t>
  </si>
  <si>
    <t>Indice santé lissé 10-2021</t>
  </si>
  <si>
    <t>Indice santé lissé 12-2020</t>
  </si>
  <si>
    <t>Indice santé lissé 12-2021</t>
  </si>
  <si>
    <t>Indice santé lissé 12-2022</t>
  </si>
  <si>
    <t>selon formule en colonne C</t>
  </si>
  <si>
    <t>Estimation écart en 2022 sur subvention théorique [points &amp; réductions]</t>
  </si>
  <si>
    <t>1. Estimation des points 2022 dans le système APE actuel</t>
  </si>
  <si>
    <t>Points octroyés au 1-01-2022</t>
  </si>
  <si>
    <t>2. Estimation des réductions 2022 dans le système APE actuel</t>
  </si>
  <si>
    <t>3. Total estimation subvention 2022</t>
  </si>
  <si>
    <t>Forfait d'ancienneté estimé pour 2022</t>
  </si>
  <si>
    <t>Subvention théorique [points et réductions] rapportée à 2022</t>
  </si>
  <si>
    <t>Subvention théorique [points et réductions] rapportée à 2022 pondérée par l'occupation</t>
  </si>
  <si>
    <t>Nouvelle subvention prévue en 2022</t>
  </si>
  <si>
    <t>Différence entre le nouveau montant prévu et l'évolution du système actuel en 2022</t>
  </si>
  <si>
    <t>Mois d'indexation en 2022</t>
  </si>
  <si>
    <t>Indice santé lissé 12-2017</t>
  </si>
  <si>
    <t>Subventions 2017 perçues déduction faite des éventuels indus définitifs 2017</t>
  </si>
  <si>
    <t>Subventions 2018 perçues déduction faite des éventuels indus définitifs 2018</t>
  </si>
  <si>
    <t>Subventions 2019 perçues déduction faite des éventuels indus définitifs 2019</t>
  </si>
  <si>
    <t>V1</t>
  </si>
  <si>
    <t>V2</t>
  </si>
  <si>
    <t>Somme des points des décisions au 30-09-2021</t>
  </si>
  <si>
    <t>Définitions</t>
  </si>
  <si>
    <t>Montants perçus</t>
  </si>
  <si>
    <t>2017</t>
  </si>
  <si>
    <t>2018</t>
  </si>
  <si>
    <t>2019</t>
  </si>
  <si>
    <t>Nouvelle subvention annuelle pour 2022</t>
  </si>
  <si>
    <t>VF</t>
  </si>
  <si>
    <t>Somme des points subventionnés</t>
  </si>
  <si>
    <t>Écart en comparant avec la poursuite du dispositif APE actuel</t>
  </si>
  <si>
    <t>Écart relatif</t>
  </si>
  <si>
    <t>Taux d'indexation réel des rémunérations 2017-2022</t>
  </si>
  <si>
    <t xml:space="preserve">Montant annuel moyen de RCSS par ETP subventionné 2017-2019 </t>
  </si>
  <si>
    <t>CP329</t>
  </si>
  <si>
    <t>CP332</t>
  </si>
  <si>
    <t>CP 332</t>
  </si>
  <si>
    <t>Coefficient d'évolution ancienneté selon la (S)CP</t>
  </si>
  <si>
    <t>?</t>
  </si>
  <si>
    <t>Mois d'indexation en 2021</t>
  </si>
  <si>
    <t>Coefficient d'indexation réel des rémunérations 2020-2021</t>
  </si>
  <si>
    <t>Variable g (projet de deuxième lecture)</t>
  </si>
  <si>
    <t>Taux de subventionnement mensuel moyen</t>
  </si>
  <si>
    <t>Taux de subventionnement moyen du SPS</t>
  </si>
  <si>
    <t>ETP réalisés</t>
  </si>
  <si>
    <t>Taux d'occupation moyen des travailleurs APE</t>
  </si>
  <si>
    <t xml:space="preserve">CP </t>
  </si>
  <si>
    <t>Echelles</t>
  </si>
  <si>
    <t>Moyenne variations / an</t>
  </si>
  <si>
    <t>1 (1.12)</t>
  </si>
  <si>
    <t xml:space="preserve">Fonctions pivot </t>
  </si>
  <si>
    <t>2 (1.22)</t>
  </si>
  <si>
    <t>(S)CP</t>
  </si>
  <si>
    <t xml:space="preserve">Coef.Évol.Barémique </t>
  </si>
  <si>
    <t>3 (1.26)</t>
  </si>
  <si>
    <t>CP 318</t>
  </si>
  <si>
    <t>4 (1.35)</t>
  </si>
  <si>
    <t>SCP 319.02 AAJ</t>
  </si>
  <si>
    <t>5 (1.50)</t>
  </si>
  <si>
    <t>SCP 319.02 RW</t>
  </si>
  <si>
    <t>6 (1.55 - 1.61 - 1.77)</t>
  </si>
  <si>
    <t>SCP 329.02</t>
  </si>
  <si>
    <t>7 (1.80)</t>
  </si>
  <si>
    <t>Moyenne CP318</t>
  </si>
  <si>
    <t>329.02</t>
  </si>
  <si>
    <t>4.1</t>
  </si>
  <si>
    <t>4.2</t>
  </si>
  <si>
    <t>Moyenne CP329.02</t>
  </si>
  <si>
    <t>Moyenne CP332</t>
  </si>
  <si>
    <t>319.02 RW</t>
  </si>
  <si>
    <t>Moyenne SCP319.02 RW</t>
  </si>
  <si>
    <t>319.02 AAJ</t>
  </si>
  <si>
    <t>2A</t>
  </si>
  <si>
    <t>2B</t>
  </si>
  <si>
    <t>Moyenne SCP319.02 AAJ</t>
  </si>
  <si>
    <t>Réduction Contractuel Subventionné 2017</t>
  </si>
  <si>
    <t>Réduction Contractuel Subventionné 2018</t>
  </si>
  <si>
    <t>Réduction Contractuel Subventionné 2019</t>
  </si>
  <si>
    <t>Somme des points réalisés 2017-2019</t>
  </si>
  <si>
    <t>Somme des ETP subventionnés 2017-2019</t>
  </si>
  <si>
    <t>Montant de l'écart en comparant avec la poursuite du dispositif APE actuel</t>
  </si>
  <si>
    <t>Type de données</t>
  </si>
  <si>
    <t>Année de prestations</t>
  </si>
  <si>
    <t>Volet 1 : données relatives aux subventions</t>
  </si>
  <si>
    <t>Subsides</t>
  </si>
  <si>
    <t>Point réalisées</t>
  </si>
  <si>
    <t>Points subventionnées</t>
  </si>
  <si>
    <t>Volet 2 : données relatives aux équivalents temps plein et réductions de cotisations sociales</t>
  </si>
  <si>
    <t>RCSS</t>
  </si>
  <si>
    <t>ETP subventionnés</t>
  </si>
  <si>
    <t>A</t>
  </si>
  <si>
    <t>B</t>
  </si>
  <si>
    <t>C</t>
  </si>
  <si>
    <t>D</t>
  </si>
  <si>
    <t>E</t>
  </si>
  <si>
    <t>F</t>
  </si>
  <si>
    <t>Données personnelles (page 1)</t>
  </si>
  <si>
    <t>Détai de vos données de références (page 4)</t>
  </si>
  <si>
    <t>1. Données FOREm</t>
  </si>
  <si>
    <t>2. Simulation UNIPSO</t>
  </si>
  <si>
    <t>G</t>
  </si>
  <si>
    <t>ETP réalisés entre 1.10.2020 et 30.09.2021</t>
  </si>
  <si>
    <t xml:space="preserve">Variable </t>
  </si>
  <si>
    <t>Remarque</t>
  </si>
  <si>
    <t>Donnée FOREm</t>
  </si>
  <si>
    <t>Résultat</t>
  </si>
  <si>
    <t>Estimation UNIPSO</t>
  </si>
  <si>
    <t xml:space="preserve">Merci de compléter les données complémentaires suivantes : </t>
  </si>
  <si>
    <t xml:space="preserve">Sélectionner dans le menu déroulant votre commission paritaire 
(ou celle la plus proche dans les barèmes) </t>
  </si>
  <si>
    <t>Estimation UNIPSO du montant TOTAL de la valeur théorique de subventionnement au 1er janvier 2022</t>
  </si>
  <si>
    <t>Estimation de la différence par rapport au système APE actuel en 2022 si occupation à 100%</t>
  </si>
  <si>
    <t>Valeur du point 2022 théorique et estimée par le FOREM</t>
  </si>
  <si>
    <t>Valeur du point 2022 estimée FOREM</t>
  </si>
  <si>
    <t>Coefficient d'occupation estimé en 2022</t>
  </si>
  <si>
    <t>Autres S(CP)</t>
  </si>
  <si>
    <t>Volet 1 (point APE)</t>
  </si>
  <si>
    <t>Volet 2 (RCSS)</t>
  </si>
  <si>
    <t>TOTAL subvention</t>
  </si>
  <si>
    <t>Total FOREm</t>
  </si>
  <si>
    <t>Valeur</t>
  </si>
  <si>
    <t>Forfait d'ancienneté reçu en 2020</t>
  </si>
  <si>
    <t>Total Volet 1</t>
  </si>
  <si>
    <t>Total Volet 2</t>
  </si>
  <si>
    <t>Coefficient indexation 1-1-2020 |31-12-2021</t>
  </si>
  <si>
    <t>Réductions rapportées à 2021 [Réd. théoriques 2017-2019 * coeff. anc. sur 2 ans * coeff. index]</t>
  </si>
  <si>
    <t>Ici = D du FOREm</t>
  </si>
  <si>
    <t>Donnée FOREM</t>
  </si>
  <si>
    <t>Taux d'occupation moyen au cours des 3 dernières années (2017-2019)</t>
  </si>
  <si>
    <t>Nombre de points octroyés 30.09.2021 pour toutes les décisions (ici au 31.12.2020)</t>
  </si>
  <si>
    <t>Variables de la formule de calcul  pour la subvention forfaitaire APE au 1er janvier 2022 :</t>
  </si>
  <si>
    <t xml:space="preserve">ETP réalisés entre 1.10.2020 et 30.09.2021 (ici entre 01.10.2019 et 30.09.2020 ; si ces ETP réalisés &lt; moyenne ETP réalisées 2017-2018-2019, alors d = moyenne ETP réalisées 2017-2019 </t>
  </si>
  <si>
    <t>Variable d’indexation permettant la prise en compte de l’évolution des RCSS, entre les années de référence et l’entrée en application de la réforme</t>
  </si>
  <si>
    <t>VF = V1 + V2 = (A x B x C) + (D x E x F)</t>
  </si>
  <si>
    <t>Moyenne réductions théoriques 2017-2019 tenant compte de l'éventuelle variation d'ETP entre 1.10.2020 et 30.09.2021</t>
  </si>
  <si>
    <t>Taux d'occupation estimée pour 2022</t>
  </si>
  <si>
    <t>Estimation des ETP réalisés entre 1.10.2020 et 30.09.2021</t>
  </si>
  <si>
    <t>NOM DE L'ENTREPRISE</t>
  </si>
  <si>
    <t>ESTIMATION
NBRE TOTAL ETP</t>
  </si>
  <si>
    <t>AGREMENT(S)
EVENTUEL(S°</t>
  </si>
  <si>
    <r>
      <t xml:space="preserve">Merci de remplir dans les tableaux suivants vos données personnelles et le détail de vos données de références dans les </t>
    </r>
    <r>
      <rPr>
        <b/>
        <u/>
        <sz val="10"/>
        <color indexed="8"/>
        <rFont val="Helvetica Neue"/>
      </rPr>
      <t>cellules vertes</t>
    </r>
    <r>
      <rPr>
        <b/>
        <sz val="10"/>
        <color indexed="8"/>
        <rFont val="Helvetica Neue"/>
      </rPr>
      <t xml:space="preserve"> (cf. respectivement tableaux p.1 et p.4 du courrier du FOREm). Les chiffres qui figurent dans les cellules vertes (que vous devez remplir), le sont uniquement à titre 
d'illustration!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</si>
</sst>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quot;€&quot;_ ;_ * \(#,##0.00\)\ &quot;€&quot;_ ;_ * &quot;-&quot;??_)\ &quot;€&quot;_ ;_ @_ "/>
    <numFmt numFmtId="165" formatCode="_ * #,##0.00_)\ _€_ ;_ * \(#,##0.00\)\ _€_ ;_ * &quot;-&quot;??_)\ _€_ ;_ @_ "/>
    <numFmt numFmtId="166" formatCode="#,##0.00\ &quot;€&quot;"/>
    <numFmt numFmtId="167" formatCode="mm/yyyy"/>
    <numFmt numFmtId="168" formatCode="0.000"/>
    <numFmt numFmtId="169" formatCode="_-* #,##0.00\ [$€-80C]_-;\-* #,##0.00\ [$€-80C]_-;_-* &quot;-&quot;??\ [$€-80C]_-;_-@_-"/>
    <numFmt numFmtId="170" formatCode="_-* #,##0.0000_-;\-* #,##0.0000_-;_-* &quot;-&quot;??_-;_-@_-"/>
  </numFmts>
  <fonts count="53">
    <font>
      <sz val="10"/>
      <color indexed="8"/>
      <name val="Helvetica Neue"/>
    </font>
    <font>
      <sz val="10"/>
      <color indexed="8"/>
      <name val="Helvetica Neue"/>
      <family val="2"/>
    </font>
    <font>
      <b/>
      <sz val="10"/>
      <color indexed="8"/>
      <name val="Helvetica Neue"/>
      <family val="2"/>
    </font>
    <font>
      <i/>
      <sz val="10"/>
      <color indexed="8"/>
      <name val="Helvetica Neue"/>
      <family val="2"/>
    </font>
    <font>
      <b/>
      <sz val="12"/>
      <color indexed="8"/>
      <name val="Helvetica Neue"/>
      <family val="2"/>
    </font>
    <font>
      <b/>
      <sz val="10"/>
      <color theme="7"/>
      <name val="Helvetica Neue"/>
      <family val="2"/>
    </font>
    <font>
      <b/>
      <sz val="10"/>
      <color theme="6"/>
      <name val="Helvetica Neue"/>
      <family val="2"/>
    </font>
    <font>
      <sz val="10"/>
      <color theme="8"/>
      <name val="Helvetica Neue"/>
      <family val="2"/>
    </font>
    <font>
      <b/>
      <sz val="10"/>
      <color theme="8"/>
      <name val="Helvetica Neue"/>
      <family val="2"/>
    </font>
    <font>
      <i/>
      <sz val="8"/>
      <color indexed="8"/>
      <name val="Helvetica Neue"/>
      <family val="2"/>
    </font>
    <font>
      <i/>
      <sz val="9"/>
      <color indexed="8"/>
      <name val="Helvetica Neue"/>
      <family val="2"/>
    </font>
    <font>
      <b/>
      <sz val="10"/>
      <color theme="5"/>
      <name val="Helvetica Neue"/>
      <family val="2"/>
    </font>
    <font>
      <sz val="10"/>
      <color indexed="8"/>
      <name val="Helvetica Neue"/>
      <family val="2"/>
    </font>
    <font>
      <sz val="9"/>
      <color indexed="8"/>
      <name val="Helvetica Neue"/>
      <family val="2"/>
    </font>
    <font>
      <b/>
      <sz val="9"/>
      <color theme="8"/>
      <name val="Helvetica Neue"/>
      <family val="2"/>
    </font>
    <font>
      <b/>
      <i/>
      <sz val="10"/>
      <color indexed="8"/>
      <name val="Helvetica Neue"/>
      <family val="2"/>
    </font>
    <font>
      <b/>
      <sz val="9"/>
      <color theme="5"/>
      <name val="Helvetica Neue"/>
      <family val="2"/>
    </font>
    <font>
      <sz val="10"/>
      <name val="Helvetica Neue"/>
      <family val="2"/>
    </font>
    <font>
      <b/>
      <i/>
      <sz val="9"/>
      <color theme="8"/>
      <name val="Helvetica Neue"/>
      <family val="2"/>
    </font>
    <font>
      <i/>
      <sz val="10"/>
      <color theme="5"/>
      <name val="Helvetica Neue"/>
      <family val="2"/>
    </font>
    <font>
      <sz val="8"/>
      <color indexed="8"/>
      <name val="Helvetica Neue"/>
      <family val="2"/>
    </font>
    <font>
      <i/>
      <sz val="8"/>
      <color rgb="FF73B632"/>
      <name val="Helvetica Neue"/>
      <family val="2"/>
    </font>
    <font>
      <b/>
      <i/>
      <sz val="10"/>
      <color theme="5"/>
      <name val="Helvetica Neue"/>
      <family val="2"/>
    </font>
    <font>
      <i/>
      <sz val="9"/>
      <color theme="0" tint="-0.34998626667073579"/>
      <name val="Helvetica Neue"/>
      <family val="2"/>
    </font>
    <font>
      <i/>
      <sz val="10"/>
      <color theme="0" tint="-0.34998626667073579"/>
      <name val="Helvetica Neue"/>
      <family val="2"/>
    </font>
    <font>
      <i/>
      <sz val="10"/>
      <color indexed="8"/>
      <name val="Helvetica Neue"/>
    </font>
    <font>
      <b/>
      <i/>
      <sz val="12"/>
      <color indexed="8"/>
      <name val="Helvetica Neue"/>
    </font>
    <font>
      <b/>
      <sz val="10"/>
      <color indexed="8"/>
      <name val="Helvetica Neue"/>
    </font>
    <font>
      <sz val="9"/>
      <color indexed="81"/>
      <name val="Tahoma"/>
      <family val="2"/>
    </font>
    <font>
      <b/>
      <i/>
      <sz val="10"/>
      <color indexed="8"/>
      <name val="Helvetica Neue"/>
    </font>
    <font>
      <i/>
      <sz val="9"/>
      <color indexed="8"/>
      <name val="Helvetica Neue"/>
    </font>
    <font>
      <b/>
      <i/>
      <sz val="9"/>
      <color indexed="8"/>
      <name val="Helvetica Neue"/>
    </font>
    <font>
      <sz val="10"/>
      <name val="Arial"/>
      <family val="2"/>
    </font>
    <font>
      <b/>
      <sz val="14"/>
      <name val="Helvetica Neue"/>
      <family val="2"/>
    </font>
    <font>
      <sz val="8"/>
      <name val="Helvetica Neue"/>
    </font>
    <font>
      <sz val="10"/>
      <name val="Helvetica Neue"/>
    </font>
    <font>
      <b/>
      <sz val="10"/>
      <name val="Arial"/>
      <family val="2"/>
    </font>
    <font>
      <strike/>
      <sz val="10"/>
      <color indexed="8"/>
      <name val="Helvetica Neue"/>
      <family val="2"/>
    </font>
    <font>
      <i/>
      <strike/>
      <sz val="10"/>
      <color indexed="8"/>
      <name val="Helvetica Neue"/>
      <family val="2"/>
    </font>
    <font>
      <b/>
      <sz val="16"/>
      <color indexed="8"/>
      <name val="Helvetica Neue"/>
    </font>
    <font>
      <b/>
      <sz val="10"/>
      <color rgb="FFFF0000"/>
      <name val="Helvetica Neue"/>
    </font>
    <font>
      <b/>
      <i/>
      <sz val="10"/>
      <color rgb="FFFF0000"/>
      <name val="Helvetica Neue"/>
    </font>
    <font>
      <b/>
      <u/>
      <sz val="10"/>
      <color indexed="8"/>
      <name val="Helvetica Neue"/>
    </font>
    <font>
      <sz val="10"/>
      <color rgb="FFFF0000"/>
      <name val="Helvetica Neue"/>
    </font>
    <font>
      <b/>
      <sz val="10"/>
      <color theme="4"/>
      <name val="Helvetica Neue"/>
    </font>
    <font>
      <b/>
      <sz val="12"/>
      <color indexed="8"/>
      <name val="Helvetica Neue"/>
    </font>
    <font>
      <b/>
      <sz val="10"/>
      <color rgb="FFFF0000"/>
      <name val="Helvetica Neue"/>
      <family val="2"/>
    </font>
    <font>
      <b/>
      <sz val="12"/>
      <color rgb="FFFF0000"/>
      <name val="Helvetica Neue"/>
      <family val="2"/>
    </font>
    <font>
      <b/>
      <sz val="12"/>
      <name val="Helvetica Neue"/>
      <family val="2"/>
    </font>
    <font>
      <b/>
      <i/>
      <sz val="12"/>
      <color rgb="FFFF0000"/>
      <name val="Helvetica Neue"/>
    </font>
    <font>
      <b/>
      <sz val="10"/>
      <color theme="7"/>
      <name val="Helvetica Neue"/>
    </font>
    <font>
      <b/>
      <i/>
      <sz val="11"/>
      <color theme="5"/>
      <name val="Helvetica Neue"/>
      <family val="2"/>
    </font>
    <font>
      <b/>
      <i/>
      <sz val="11"/>
      <color theme="8"/>
      <name val="Helvetica Neue"/>
      <family val="2"/>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2" tint="-0.249977111117893"/>
        <bgColor indexed="64"/>
      </patternFill>
    </fill>
    <fill>
      <patternFill patternType="solid">
        <fgColor theme="2"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bgColor indexed="64"/>
      </patternFill>
    </fill>
  </fills>
  <borders count="42">
    <border>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style="thin">
        <color indexed="64"/>
      </right>
      <top style="thin">
        <color indexed="64"/>
      </top>
      <bottom style="thin">
        <color indexed="64"/>
      </bottom>
      <diagonal/>
    </border>
    <border>
      <left style="thin">
        <color indexed="64"/>
      </left>
      <right style="thick">
        <color rgb="FF00B050"/>
      </right>
      <top style="thin">
        <color indexed="64"/>
      </top>
      <bottom style="thin">
        <color indexed="64"/>
      </bottom>
      <diagonal/>
    </border>
    <border>
      <left style="thick">
        <color rgb="FF00B050"/>
      </left>
      <right/>
      <top style="thin">
        <color indexed="64"/>
      </top>
      <bottom style="thin">
        <color indexed="64"/>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applyNumberFormat="0" applyFill="0" applyBorder="0" applyProtection="0">
      <alignment vertical="top" wrapText="1"/>
    </xf>
    <xf numFmtId="164" fontId="1"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0" fontId="32" fillId="0" borderId="0"/>
    <xf numFmtId="9" fontId="1" fillId="0" borderId="0" applyFont="0" applyFill="0" applyBorder="0" applyAlignment="0" applyProtection="0"/>
    <xf numFmtId="165" fontId="1" fillId="0" borderId="0" applyFont="0" applyFill="0" applyBorder="0" applyAlignment="0" applyProtection="0"/>
  </cellStyleXfs>
  <cellXfs count="264">
    <xf numFmtId="0" fontId="0" fillId="0" borderId="0" xfId="0" applyFont="1" applyAlignment="1">
      <alignment vertical="top" wrapText="1"/>
    </xf>
    <xf numFmtId="0" fontId="1" fillId="0" borderId="0" xfId="0" applyFont="1" applyAlignment="1">
      <alignment vertical="top" wrapText="1"/>
    </xf>
    <xf numFmtId="0" fontId="0" fillId="0" borderId="0" xfId="0" applyFont="1" applyAlignment="1" applyProtection="1">
      <alignment vertical="top"/>
    </xf>
    <xf numFmtId="0" fontId="1" fillId="0" borderId="0" xfId="0" applyFont="1" applyAlignment="1" applyProtection="1">
      <alignment vertical="top"/>
    </xf>
    <xf numFmtId="0" fontId="2" fillId="0" borderId="0" xfId="0" applyFont="1" applyAlignment="1" applyProtection="1">
      <alignment vertical="top"/>
    </xf>
    <xf numFmtId="166" fontId="6" fillId="0" borderId="0" xfId="1" applyNumberFormat="1" applyFont="1" applyAlignment="1" applyProtection="1">
      <alignment vertical="top"/>
    </xf>
    <xf numFmtId="0" fontId="7" fillId="0" borderId="0" xfId="0" quotePrefix="1" applyFont="1" applyAlignment="1" applyProtection="1">
      <alignment vertical="top"/>
    </xf>
    <xf numFmtId="0" fontId="5" fillId="0" borderId="1" xfId="0" applyFont="1" applyBorder="1" applyAlignment="1" applyProtection="1">
      <alignment horizontal="right" vertical="top"/>
    </xf>
    <xf numFmtId="166" fontId="2" fillId="0" borderId="1" xfId="1" applyNumberFormat="1" applyFont="1" applyBorder="1" applyAlignment="1" applyProtection="1">
      <alignment vertical="top"/>
    </xf>
    <xf numFmtId="0" fontId="10" fillId="0" borderId="0" xfId="0" applyFont="1" applyAlignment="1" applyProtection="1">
      <alignment vertical="top"/>
    </xf>
    <xf numFmtId="166" fontId="3" fillId="0" borderId="0" xfId="0" applyNumberFormat="1" applyFont="1" applyFill="1" applyAlignment="1" applyProtection="1">
      <alignment vertical="top"/>
    </xf>
    <xf numFmtId="0" fontId="11" fillId="0" borderId="0" xfId="0" applyFont="1" applyAlignment="1">
      <alignment vertical="top" wrapText="1"/>
    </xf>
    <xf numFmtId="0" fontId="13" fillId="0" borderId="0" xfId="0" applyFont="1" applyAlignment="1">
      <alignment vertical="top" wrapText="1"/>
    </xf>
    <xf numFmtId="0" fontId="7" fillId="0" borderId="0" xfId="0" applyFont="1" applyAlignment="1">
      <alignment vertical="top" wrapText="1"/>
    </xf>
    <xf numFmtId="0" fontId="13" fillId="0" borderId="1" xfId="0" applyFont="1" applyBorder="1" applyAlignment="1">
      <alignment vertical="top" wrapText="1"/>
    </xf>
    <xf numFmtId="14" fontId="13" fillId="0" borderId="1" xfId="0" applyNumberFormat="1" applyFont="1" applyBorder="1" applyAlignment="1">
      <alignment vertical="top" wrapText="1"/>
    </xf>
    <xf numFmtId="2" fontId="13" fillId="0" borderId="1" xfId="0" applyNumberFormat="1" applyFont="1" applyBorder="1" applyAlignment="1">
      <alignment vertical="top" wrapText="1"/>
    </xf>
    <xf numFmtId="0" fontId="8" fillId="0" borderId="1" xfId="0" applyFont="1" applyBorder="1" applyAlignment="1">
      <alignment horizontal="center" vertical="top" wrapText="1"/>
    </xf>
    <xf numFmtId="0" fontId="14" fillId="0" borderId="1" xfId="0" applyFont="1" applyBorder="1" applyAlignment="1">
      <alignment horizontal="center" vertical="top" wrapText="1"/>
    </xf>
    <xf numFmtId="166" fontId="13" fillId="0" borderId="1" xfId="0" applyNumberFormat="1" applyFont="1" applyBorder="1" applyAlignment="1">
      <alignment vertical="top" wrapText="1"/>
    </xf>
    <xf numFmtId="2" fontId="3" fillId="0" borderId="0" xfId="0" applyNumberFormat="1" applyFont="1" applyFill="1" applyAlignment="1" applyProtection="1">
      <alignment vertical="top"/>
    </xf>
    <xf numFmtId="10" fontId="3" fillId="0" borderId="0" xfId="3" applyNumberFormat="1" applyFont="1" applyAlignment="1" applyProtection="1">
      <alignment vertical="top"/>
    </xf>
    <xf numFmtId="10" fontId="10" fillId="0" borderId="0" xfId="3" applyNumberFormat="1" applyFont="1" applyAlignment="1" applyProtection="1">
      <alignment vertical="top"/>
    </xf>
    <xf numFmtId="166" fontId="10" fillId="0" borderId="0" xfId="0" applyNumberFormat="1" applyFont="1" applyFill="1" applyAlignment="1" applyProtection="1">
      <alignment vertical="top"/>
    </xf>
    <xf numFmtId="0" fontId="1" fillId="0" borderId="1" xfId="0" applyFont="1" applyBorder="1" applyAlignment="1" applyProtection="1">
      <alignment horizontal="right" vertical="top"/>
    </xf>
    <xf numFmtId="2" fontId="0" fillId="0" borderId="0" xfId="0" applyNumberFormat="1" applyFont="1" applyFill="1" applyBorder="1" applyAlignment="1" applyProtection="1">
      <alignment horizontal="center" vertical="top"/>
    </xf>
    <xf numFmtId="0" fontId="0" fillId="0" borderId="0" xfId="0" applyFont="1" applyFill="1" applyAlignment="1">
      <alignment vertical="top" wrapText="1"/>
    </xf>
    <xf numFmtId="14" fontId="0" fillId="0" borderId="0" xfId="0" applyNumberFormat="1" applyFont="1" applyAlignment="1">
      <alignment vertical="top" wrapText="1"/>
    </xf>
    <xf numFmtId="17" fontId="0" fillId="0" borderId="0" xfId="0" applyNumberFormat="1" applyFont="1" applyAlignment="1">
      <alignment vertical="top" wrapText="1"/>
    </xf>
    <xf numFmtId="0" fontId="1" fillId="0" borderId="2" xfId="0" applyFont="1" applyBorder="1" applyAlignment="1">
      <alignment vertical="top" wrapText="1"/>
    </xf>
    <xf numFmtId="0" fontId="0" fillId="0" borderId="3" xfId="0" applyFont="1" applyBorder="1" applyAlignment="1">
      <alignment vertical="top" wrapText="1"/>
    </xf>
    <xf numFmtId="0" fontId="1" fillId="0" borderId="4" xfId="0" applyFont="1" applyBorder="1" applyAlignment="1">
      <alignment vertical="top" wrapText="1"/>
    </xf>
    <xf numFmtId="0" fontId="2" fillId="0" borderId="5" xfId="0" applyFont="1" applyBorder="1" applyAlignment="1">
      <alignment vertical="top" wrapText="1"/>
    </xf>
    <xf numFmtId="0" fontId="16" fillId="0" borderId="0" xfId="0" applyFont="1" applyAlignment="1" applyProtection="1">
      <alignment horizontal="right" vertical="top"/>
    </xf>
    <xf numFmtId="0" fontId="17" fillId="0" borderId="0" xfId="0" applyFont="1" applyFill="1" applyAlignment="1" applyProtection="1">
      <alignment vertical="top"/>
    </xf>
    <xf numFmtId="0" fontId="9" fillId="0" borderId="0" xfId="0" applyFont="1" applyAlignment="1" applyProtection="1">
      <alignment horizontal="right" vertical="top"/>
    </xf>
    <xf numFmtId="0" fontId="19" fillId="0" borderId="0" xfId="0" applyFont="1" applyAlignment="1" applyProtection="1">
      <alignment vertical="top"/>
    </xf>
    <xf numFmtId="0" fontId="0" fillId="0" borderId="0" xfId="0" applyFont="1" applyBorder="1" applyAlignment="1" applyProtection="1">
      <alignment vertical="top"/>
    </xf>
    <xf numFmtId="0" fontId="4" fillId="0" borderId="0" xfId="0" applyFont="1" applyAlignment="1" applyProtection="1">
      <alignment horizontal="right" vertical="top"/>
    </xf>
    <xf numFmtId="166" fontId="20" fillId="0" borderId="0" xfId="0" applyNumberFormat="1" applyFont="1" applyAlignment="1" applyProtection="1">
      <alignment vertical="top"/>
    </xf>
    <xf numFmtId="0" fontId="21" fillId="0" borderId="0" xfId="0" applyFont="1" applyAlignment="1">
      <alignment horizontal="left" vertical="top"/>
    </xf>
    <xf numFmtId="0" fontId="11" fillId="0" borderId="0" xfId="0" applyFont="1" applyAlignment="1" applyProtection="1">
      <alignment vertical="top"/>
    </xf>
    <xf numFmtId="0" fontId="0" fillId="0" borderId="0" xfId="0" applyFont="1" applyFill="1" applyBorder="1" applyAlignment="1" applyProtection="1">
      <alignment vertical="top"/>
    </xf>
    <xf numFmtId="2" fontId="2" fillId="0" borderId="1" xfId="0" applyNumberFormat="1" applyFont="1" applyBorder="1" applyAlignment="1" applyProtection="1">
      <alignment horizontal="center" vertical="top"/>
    </xf>
    <xf numFmtId="0" fontId="13" fillId="0" borderId="6" xfId="0" applyFont="1" applyBorder="1" applyAlignment="1">
      <alignment vertical="top" wrapText="1"/>
    </xf>
    <xf numFmtId="0" fontId="22" fillId="0" borderId="0" xfId="0" applyFont="1" applyAlignment="1" applyProtection="1">
      <alignment vertical="top"/>
    </xf>
    <xf numFmtId="0" fontId="10" fillId="0" borderId="1" xfId="0" applyFont="1" applyBorder="1" applyAlignment="1">
      <alignment vertical="top" wrapText="1"/>
    </xf>
    <xf numFmtId="14" fontId="10" fillId="0" borderId="1" xfId="0" applyNumberFormat="1" applyFont="1" applyBorder="1" applyAlignment="1">
      <alignment vertical="top" wrapText="1"/>
    </xf>
    <xf numFmtId="0" fontId="3" fillId="0" borderId="0" xfId="0" applyFont="1" applyAlignment="1">
      <alignment vertical="top" wrapText="1"/>
    </xf>
    <xf numFmtId="2" fontId="10" fillId="0" borderId="1" xfId="0" applyNumberFormat="1" applyFont="1" applyBorder="1" applyAlignment="1">
      <alignment vertical="top" wrapText="1"/>
    </xf>
    <xf numFmtId="166" fontId="10" fillId="0" borderId="1" xfId="0" applyNumberFormat="1" applyFont="1" applyBorder="1" applyAlignment="1">
      <alignment vertical="top" wrapText="1"/>
    </xf>
    <xf numFmtId="0" fontId="1" fillId="0" borderId="0" xfId="0" applyFont="1" applyFill="1" applyAlignment="1" applyProtection="1">
      <alignment vertical="top"/>
    </xf>
    <xf numFmtId="0" fontId="19" fillId="0" borderId="0" xfId="0" applyFont="1" applyFill="1" applyAlignment="1" applyProtection="1">
      <alignment vertical="top"/>
    </xf>
    <xf numFmtId="2" fontId="0" fillId="0" borderId="1" xfId="0" applyNumberFormat="1" applyFont="1" applyFill="1" applyBorder="1" applyAlignment="1" applyProtection="1">
      <alignment horizontal="center" vertical="top"/>
    </xf>
    <xf numFmtId="0" fontId="10" fillId="0" borderId="1" xfId="0" quotePrefix="1" applyFont="1" applyBorder="1" applyAlignment="1">
      <alignment horizontal="right" vertical="top" wrapText="1"/>
    </xf>
    <xf numFmtId="2" fontId="0" fillId="0" borderId="0" xfId="0" applyNumberFormat="1" applyFont="1" applyAlignment="1">
      <alignment vertical="top" wrapText="1"/>
    </xf>
    <xf numFmtId="168" fontId="10" fillId="0" borderId="1" xfId="2" applyNumberFormat="1" applyFont="1" applyBorder="1" applyAlignment="1">
      <alignment vertical="top" wrapText="1"/>
    </xf>
    <xf numFmtId="0" fontId="13" fillId="0" borderId="0" xfId="0" applyFont="1" applyBorder="1" applyAlignment="1">
      <alignment vertical="top" wrapText="1"/>
    </xf>
    <xf numFmtId="166" fontId="23" fillId="0" borderId="1" xfId="0" applyNumberFormat="1" applyFont="1" applyBorder="1" applyAlignment="1">
      <alignment vertical="top" wrapText="1"/>
    </xf>
    <xf numFmtId="0" fontId="24" fillId="0" borderId="0" xfId="0" applyFont="1" applyAlignment="1">
      <alignment vertical="top" wrapText="1"/>
    </xf>
    <xf numFmtId="0" fontId="5" fillId="0" borderId="0" xfId="0" applyFont="1" applyAlignment="1" applyProtection="1">
      <alignment vertical="top"/>
    </xf>
    <xf numFmtId="0" fontId="2" fillId="0" borderId="0" xfId="0" applyFont="1" applyAlignment="1" applyProtection="1">
      <alignment horizontal="right" vertical="top"/>
    </xf>
    <xf numFmtId="169" fontId="2" fillId="0" borderId="1" xfId="0" applyNumberFormat="1" applyFont="1" applyFill="1" applyBorder="1" applyAlignment="1" applyProtection="1">
      <alignment horizontal="center" vertical="top"/>
    </xf>
    <xf numFmtId="0" fontId="0" fillId="0" borderId="1" xfId="0" applyFont="1" applyBorder="1" applyAlignment="1" applyProtection="1">
      <alignment vertical="top"/>
    </xf>
    <xf numFmtId="10" fontId="2" fillId="0" borderId="1" xfId="3" applyNumberFormat="1" applyFont="1" applyFill="1" applyBorder="1" applyAlignment="1" applyProtection="1">
      <alignment horizontal="center" vertical="top"/>
    </xf>
    <xf numFmtId="167" fontId="1" fillId="0" borderId="1" xfId="0" quotePrefix="1" applyNumberFormat="1" applyFont="1" applyBorder="1" applyAlignment="1" applyProtection="1">
      <alignment horizontal="right" vertical="top"/>
    </xf>
    <xf numFmtId="0" fontId="17" fillId="0" borderId="1" xfId="0" applyFont="1" applyFill="1" applyBorder="1" applyAlignment="1" applyProtection="1">
      <alignment vertical="top"/>
    </xf>
    <xf numFmtId="2" fontId="2" fillId="0" borderId="0" xfId="0" applyNumberFormat="1" applyFont="1" applyBorder="1" applyAlignment="1" applyProtection="1">
      <alignment horizontal="center" vertical="top"/>
    </xf>
    <xf numFmtId="2" fontId="3" fillId="0" borderId="0" xfId="0" applyNumberFormat="1" applyFont="1" applyFill="1" applyBorder="1" applyAlignment="1" applyProtection="1">
      <alignment horizontal="center" vertical="top"/>
    </xf>
    <xf numFmtId="0" fontId="5" fillId="0" borderId="0" xfId="0" applyFont="1" applyAlignment="1" applyProtection="1">
      <alignment horizontal="right" vertical="top"/>
    </xf>
    <xf numFmtId="0" fontId="26" fillId="0" borderId="0" xfId="0" applyFont="1" applyAlignment="1" applyProtection="1">
      <alignment horizontal="right" vertical="top"/>
    </xf>
    <xf numFmtId="0" fontId="0" fillId="2" borderId="0" xfId="0" applyFont="1" applyFill="1" applyAlignment="1">
      <alignment vertical="top" wrapText="1"/>
    </xf>
    <xf numFmtId="10" fontId="0" fillId="0" borderId="0" xfId="0" applyNumberFormat="1" applyFont="1" applyAlignment="1">
      <alignment vertical="top" wrapText="1"/>
    </xf>
    <xf numFmtId="10" fontId="0" fillId="2" borderId="0" xfId="0" applyNumberFormat="1" applyFont="1" applyFill="1" applyAlignment="1">
      <alignment vertical="top" wrapText="1"/>
    </xf>
    <xf numFmtId="10" fontId="0" fillId="0" borderId="0" xfId="0" applyNumberFormat="1" applyFont="1" applyFill="1" applyAlignment="1">
      <alignment vertical="top" wrapText="1"/>
    </xf>
    <xf numFmtId="0" fontId="25" fillId="0" borderId="0" xfId="0" applyFont="1" applyFill="1" applyAlignment="1" applyProtection="1">
      <alignment vertical="top"/>
    </xf>
    <xf numFmtId="0" fontId="0" fillId="0" borderId="0" xfId="0" applyFont="1" applyFill="1" applyAlignment="1" applyProtection="1">
      <alignment vertical="top"/>
    </xf>
    <xf numFmtId="4" fontId="0" fillId="0" borderId="0" xfId="0" applyNumberFormat="1" applyFont="1" applyAlignment="1" applyProtection="1">
      <alignment vertical="top"/>
    </xf>
    <xf numFmtId="0" fontId="5" fillId="0" borderId="1" xfId="0" applyFont="1" applyFill="1" applyBorder="1" applyAlignment="1" applyProtection="1">
      <alignment horizontal="right" vertical="top"/>
    </xf>
    <xf numFmtId="170" fontId="0" fillId="0" borderId="1" xfId="2" applyNumberFormat="1" applyFont="1" applyFill="1" applyBorder="1"/>
    <xf numFmtId="2" fontId="10" fillId="0" borderId="1" xfId="0" applyNumberFormat="1" applyFont="1" applyFill="1" applyBorder="1" applyAlignment="1">
      <alignment vertical="top" wrapText="1"/>
    </xf>
    <xf numFmtId="14" fontId="10" fillId="0" borderId="1" xfId="0" applyNumberFormat="1" applyFont="1" applyFill="1" applyBorder="1" applyAlignment="1">
      <alignment vertical="top" wrapText="1"/>
    </xf>
    <xf numFmtId="0" fontId="35" fillId="2" borderId="0" xfId="0" applyFont="1" applyFill="1" applyAlignment="1">
      <alignment vertical="top" wrapText="1"/>
    </xf>
    <xf numFmtId="0" fontId="29" fillId="0" borderId="0" xfId="0" applyFont="1" applyFill="1" applyAlignment="1" applyProtection="1">
      <alignment vertical="top"/>
    </xf>
    <xf numFmtId="166" fontId="8" fillId="0" borderId="0" xfId="1" applyNumberFormat="1" applyFont="1" applyFill="1" applyAlignment="1" applyProtection="1">
      <alignment horizontal="right" vertical="top"/>
    </xf>
    <xf numFmtId="166" fontId="31" fillId="0" borderId="0" xfId="0" applyNumberFormat="1" applyFont="1" applyFill="1" applyAlignment="1" applyProtection="1">
      <alignment vertical="top"/>
    </xf>
    <xf numFmtId="0" fontId="0" fillId="0" borderId="0" xfId="0" applyFill="1" applyAlignment="1" applyProtection="1">
      <alignment vertical="top"/>
    </xf>
    <xf numFmtId="0" fontId="0" fillId="0" borderId="0" xfId="0" applyFill="1" applyAlignment="1" applyProtection="1">
      <alignment vertical="center"/>
    </xf>
    <xf numFmtId="166" fontId="0" fillId="0" borderId="0" xfId="0" applyNumberFormat="1" applyFont="1" applyFill="1" applyAlignment="1" applyProtection="1">
      <alignment vertical="top"/>
    </xf>
    <xf numFmtId="0" fontId="27" fillId="0" borderId="0" xfId="0" applyFont="1" applyAlignment="1" applyProtection="1">
      <alignment vertical="top"/>
    </xf>
    <xf numFmtId="10" fontId="0" fillId="0" borderId="0" xfId="0" applyNumberFormat="1" applyFont="1" applyAlignment="1" applyProtection="1">
      <alignment vertical="top"/>
    </xf>
    <xf numFmtId="10" fontId="17" fillId="0" borderId="0" xfId="0" applyNumberFormat="1" applyFont="1" applyFill="1" applyAlignment="1" applyProtection="1">
      <alignment vertical="top"/>
    </xf>
    <xf numFmtId="10" fontId="27" fillId="0" borderId="0" xfId="0" applyNumberFormat="1" applyFont="1" applyAlignment="1" applyProtection="1">
      <alignment vertical="top"/>
    </xf>
    <xf numFmtId="0" fontId="1" fillId="0" borderId="1" xfId="0" quotePrefix="1" applyNumberFormat="1" applyFont="1" applyBorder="1" applyAlignment="1" applyProtection="1">
      <alignment horizontal="right" vertical="top"/>
    </xf>
    <xf numFmtId="10" fontId="0" fillId="0" borderId="1" xfId="0" applyNumberFormat="1" applyFont="1" applyFill="1" applyBorder="1" applyAlignment="1" applyProtection="1">
      <alignment horizontal="center" vertical="top"/>
    </xf>
    <xf numFmtId="0" fontId="36" fillId="0" borderId="8" xfId="4" applyFont="1" applyBorder="1" applyAlignment="1">
      <alignment horizontal="center" vertical="center"/>
    </xf>
    <xf numFmtId="0" fontId="36" fillId="0" borderId="9" xfId="4" applyFont="1" applyBorder="1" applyAlignment="1">
      <alignment horizontal="center" vertical="center"/>
    </xf>
    <xf numFmtId="0" fontId="36" fillId="0" borderId="10" xfId="4" applyFont="1" applyBorder="1" applyAlignment="1">
      <alignment horizontal="center" vertical="center" wrapText="1"/>
    </xf>
    <xf numFmtId="0" fontId="32" fillId="0" borderId="0" xfId="4"/>
    <xf numFmtId="2" fontId="32" fillId="0" borderId="11" xfId="4" applyNumberFormat="1" applyBorder="1" applyAlignment="1">
      <alignment horizontal="center" vertical="center" wrapText="1"/>
    </xf>
    <xf numFmtId="10" fontId="32" fillId="0" borderId="3" xfId="4" applyNumberFormat="1" applyBorder="1" applyAlignment="1">
      <alignment horizontal="center" vertical="center"/>
    </xf>
    <xf numFmtId="0" fontId="32" fillId="2" borderId="0" xfId="4" applyFill="1"/>
    <xf numFmtId="2" fontId="32" fillId="0" borderId="0" xfId="4" applyNumberFormat="1" applyAlignment="1">
      <alignment horizontal="center" vertical="center" wrapText="1"/>
    </xf>
    <xf numFmtId="10" fontId="32" fillId="0" borderId="13" xfId="4" applyNumberFormat="1" applyBorder="1" applyAlignment="1">
      <alignment horizontal="center" vertical="center"/>
    </xf>
    <xf numFmtId="0" fontId="32" fillId="0" borderId="0" xfId="4" quotePrefix="1"/>
    <xf numFmtId="10" fontId="32" fillId="0" borderId="0" xfId="4" applyNumberFormat="1"/>
    <xf numFmtId="2" fontId="32" fillId="2" borderId="0" xfId="4" applyNumberFormat="1" applyFill="1" applyAlignment="1">
      <alignment horizontal="center" vertical="center" wrapText="1"/>
    </xf>
    <xf numFmtId="10" fontId="32" fillId="2" borderId="13" xfId="4" applyNumberFormat="1" applyFill="1" applyBorder="1" applyAlignment="1">
      <alignment horizontal="center" vertical="center"/>
    </xf>
    <xf numFmtId="10" fontId="36" fillId="0" borderId="5" xfId="4" applyNumberFormat="1" applyFont="1" applyBorder="1" applyAlignment="1">
      <alignment horizontal="center" vertical="center"/>
    </xf>
    <xf numFmtId="1" fontId="32" fillId="0" borderId="11" xfId="4" applyNumberFormat="1" applyBorder="1" applyAlignment="1">
      <alignment horizontal="center" vertical="center" wrapText="1"/>
    </xf>
    <xf numFmtId="1" fontId="32" fillId="0" borderId="0" xfId="4" applyNumberFormat="1" applyAlignment="1">
      <alignment horizontal="center" vertical="center" wrapText="1"/>
    </xf>
    <xf numFmtId="1" fontId="32" fillId="2" borderId="0" xfId="4" applyNumberFormat="1" applyFill="1" applyAlignment="1">
      <alignment horizontal="center" vertical="center" wrapText="1"/>
    </xf>
    <xf numFmtId="10" fontId="32" fillId="2" borderId="0" xfId="4" applyNumberFormat="1" applyFill="1" applyAlignment="1">
      <alignment horizontal="center" vertical="center"/>
    </xf>
    <xf numFmtId="2" fontId="0" fillId="0" borderId="0" xfId="0" applyNumberFormat="1" applyFont="1" applyFill="1" applyBorder="1" applyAlignment="1" applyProtection="1">
      <alignment horizontal="left" vertical="top"/>
    </xf>
    <xf numFmtId="0" fontId="32" fillId="0" borderId="0" xfId="4"/>
    <xf numFmtId="0" fontId="0" fillId="0" borderId="0" xfId="0" applyFont="1" applyBorder="1" applyAlignment="1">
      <alignment vertical="top" wrapText="1"/>
    </xf>
    <xf numFmtId="10" fontId="25" fillId="0" borderId="0" xfId="0" applyNumberFormat="1" applyFont="1" applyFill="1" applyAlignment="1" applyProtection="1">
      <alignment vertical="top"/>
    </xf>
    <xf numFmtId="166" fontId="27" fillId="0" borderId="7" xfId="0" applyNumberFormat="1" applyFont="1" applyBorder="1" applyAlignment="1">
      <alignment horizontal="center" vertical="top" wrapText="1"/>
    </xf>
    <xf numFmtId="10" fontId="27" fillId="0" borderId="7" xfId="0" applyNumberFormat="1" applyFont="1" applyBorder="1" applyAlignment="1">
      <alignment horizontal="center" vertical="top" wrapText="1"/>
    </xf>
    <xf numFmtId="0" fontId="1" fillId="0" borderId="0" xfId="0" applyFont="1" applyBorder="1" applyAlignment="1" applyProtection="1">
      <alignment horizontal="right" vertical="top"/>
    </xf>
    <xf numFmtId="0" fontId="37" fillId="0" borderId="0" xfId="0" applyFont="1" applyBorder="1" applyAlignment="1" applyProtection="1">
      <alignment horizontal="right" vertical="top"/>
    </xf>
    <xf numFmtId="166" fontId="25" fillId="0" borderId="0" xfId="1" applyNumberFormat="1" applyFont="1" applyFill="1" applyBorder="1" applyAlignment="1" applyProtection="1">
      <alignment vertical="top"/>
    </xf>
    <xf numFmtId="0" fontId="9" fillId="0" borderId="0" xfId="0" applyFont="1" applyBorder="1" applyAlignment="1" applyProtection="1">
      <alignment horizontal="right" vertical="top"/>
    </xf>
    <xf numFmtId="167" fontId="38" fillId="0" borderId="0" xfId="0" applyNumberFormat="1" applyFont="1" applyBorder="1" applyAlignment="1" applyProtection="1">
      <alignment vertical="top"/>
    </xf>
    <xf numFmtId="0" fontId="29" fillId="0" borderId="0" xfId="0" applyFont="1" applyFill="1" applyBorder="1" applyAlignment="1" applyProtection="1">
      <alignment vertical="top"/>
    </xf>
    <xf numFmtId="166" fontId="30" fillId="0" borderId="0" xfId="0" applyNumberFormat="1" applyFont="1" applyFill="1" applyBorder="1" applyAlignment="1" applyProtection="1">
      <alignment vertical="top"/>
    </xf>
    <xf numFmtId="166" fontId="0" fillId="0" borderId="7" xfId="0" applyNumberFormat="1" applyFont="1" applyBorder="1" applyAlignment="1">
      <alignment horizontal="center" vertical="center" wrapText="1"/>
    </xf>
    <xf numFmtId="0" fontId="3" fillId="0" borderId="6" xfId="0" applyFont="1" applyBorder="1" applyAlignment="1">
      <alignment vertical="top" wrapText="1"/>
    </xf>
    <xf numFmtId="166" fontId="0" fillId="3" borderId="7" xfId="0" applyNumberFormat="1" applyFont="1" applyFill="1" applyBorder="1" applyAlignment="1">
      <alignment vertical="top" wrapText="1"/>
    </xf>
    <xf numFmtId="4" fontId="0" fillId="3" borderId="7" xfId="0" applyNumberFormat="1" applyFont="1" applyFill="1" applyBorder="1" applyAlignment="1">
      <alignment vertical="top" wrapText="1"/>
    </xf>
    <xf numFmtId="10" fontId="25" fillId="0" borderId="0" xfId="0" quotePrefix="1" applyNumberFormat="1" applyFont="1" applyFill="1" applyAlignment="1" applyProtection="1">
      <alignment vertical="top"/>
    </xf>
    <xf numFmtId="0" fontId="0" fillId="0" borderId="7" xfId="0" applyFont="1" applyBorder="1" applyAlignment="1">
      <alignment horizontal="center" vertical="top" wrapText="1"/>
    </xf>
    <xf numFmtId="0" fontId="27" fillId="4" borderId="7" xfId="0" applyFont="1" applyFill="1" applyBorder="1" applyAlignment="1">
      <alignment horizontal="center" vertical="center" wrapText="1"/>
    </xf>
    <xf numFmtId="0" fontId="27" fillId="0" borderId="7" xfId="0" applyFont="1" applyBorder="1" applyAlignment="1">
      <alignment horizontal="center" vertical="center" wrapText="1"/>
    </xf>
    <xf numFmtId="4" fontId="2" fillId="0" borderId="1" xfId="3" applyNumberFormat="1" applyFont="1" applyFill="1" applyBorder="1" applyAlignment="1" applyProtection="1">
      <alignment horizontal="center" vertical="top"/>
    </xf>
    <xf numFmtId="0" fontId="0" fillId="0" borderId="20" xfId="0" applyFont="1" applyBorder="1" applyAlignment="1">
      <alignment vertical="top" wrapText="1"/>
    </xf>
    <xf numFmtId="0" fontId="0" fillId="0" borderId="21" xfId="0" applyFont="1" applyBorder="1" applyAlignment="1">
      <alignment vertical="top" wrapText="1"/>
    </xf>
    <xf numFmtId="0" fontId="29" fillId="0" borderId="20" xfId="0" applyFont="1" applyBorder="1" applyAlignment="1">
      <alignment vertical="center"/>
    </xf>
    <xf numFmtId="0" fontId="27" fillId="4" borderId="22" xfId="0" applyFont="1" applyFill="1" applyBorder="1" applyAlignment="1">
      <alignment horizontal="center" vertical="center" wrapText="1"/>
    </xf>
    <xf numFmtId="0" fontId="0" fillId="0" borderId="22" xfId="0" applyFont="1" applyBorder="1" applyAlignment="1">
      <alignment horizontal="center" vertical="top" wrapText="1"/>
    </xf>
    <xf numFmtId="166" fontId="0" fillId="0" borderId="23" xfId="0" applyNumberFormat="1" applyFont="1" applyBorder="1" applyAlignment="1">
      <alignment horizontal="center" vertical="center" wrapText="1"/>
    </xf>
    <xf numFmtId="166" fontId="27" fillId="0" borderId="23" xfId="0" applyNumberFormat="1" applyFont="1" applyBorder="1" applyAlignment="1">
      <alignment horizontal="center" vertical="center" wrapText="1"/>
    </xf>
    <xf numFmtId="0" fontId="0" fillId="4" borderId="22" xfId="0" applyFont="1" applyFill="1" applyBorder="1" applyAlignment="1">
      <alignment horizontal="center" vertical="center" wrapText="1"/>
    </xf>
    <xf numFmtId="0" fontId="27" fillId="0" borderId="22" xfId="0" applyFont="1" applyBorder="1" applyAlignment="1">
      <alignment vertical="top" wrapText="1"/>
    </xf>
    <xf numFmtId="0" fontId="0" fillId="0" borderId="25" xfId="0" applyFont="1" applyBorder="1" applyAlignment="1">
      <alignment vertical="top" wrapText="1"/>
    </xf>
    <xf numFmtId="0" fontId="0" fillId="0" borderId="26" xfId="0" applyFont="1" applyBorder="1" applyAlignment="1">
      <alignment vertical="top" wrapText="1"/>
    </xf>
    <xf numFmtId="0" fontId="0" fillId="0" borderId="27" xfId="0" applyFont="1" applyBorder="1" applyAlignment="1">
      <alignment vertical="top" wrapText="1"/>
    </xf>
    <xf numFmtId="0" fontId="0" fillId="0" borderId="31" xfId="0" applyFont="1" applyBorder="1" applyAlignment="1">
      <alignment vertical="top" wrapText="1"/>
    </xf>
    <xf numFmtId="0" fontId="0" fillId="0" borderId="32" xfId="0" applyFont="1" applyBorder="1" applyAlignment="1">
      <alignment vertical="top" wrapText="1"/>
    </xf>
    <xf numFmtId="166" fontId="40" fillId="0" borderId="34" xfId="0" applyNumberFormat="1" applyFont="1" applyBorder="1" applyAlignment="1">
      <alignment horizontal="center" vertical="center" wrapText="1"/>
    </xf>
    <xf numFmtId="0" fontId="27" fillId="4" borderId="33" xfId="0" applyFont="1" applyFill="1" applyBorder="1" applyAlignment="1">
      <alignment horizontal="center" vertical="center" wrapText="1"/>
    </xf>
    <xf numFmtId="0" fontId="0" fillId="0" borderId="33" xfId="0" applyFont="1" applyBorder="1" applyAlignment="1">
      <alignment horizontal="center" vertical="center" wrapText="1"/>
    </xf>
    <xf numFmtId="0" fontId="0" fillId="0" borderId="35" xfId="0" applyFont="1" applyBorder="1" applyAlignment="1">
      <alignment vertical="top" wrapText="1"/>
    </xf>
    <xf numFmtId="0" fontId="0" fillId="0" borderId="36" xfId="0" applyFont="1" applyBorder="1" applyAlignment="1">
      <alignment vertical="top" wrapText="1"/>
    </xf>
    <xf numFmtId="0" fontId="0" fillId="0" borderId="37" xfId="0" applyFont="1" applyBorder="1" applyAlignment="1">
      <alignment vertical="top" wrapText="1"/>
    </xf>
    <xf numFmtId="0" fontId="25" fillId="0" borderId="32" xfId="0" applyFont="1" applyBorder="1" applyAlignment="1">
      <alignment vertical="center" wrapText="1"/>
    </xf>
    <xf numFmtId="0" fontId="25" fillId="0" borderId="32" xfId="0" applyFont="1" applyFill="1" applyBorder="1" applyAlignment="1">
      <alignment vertical="center" wrapText="1"/>
    </xf>
    <xf numFmtId="0" fontId="0" fillId="0" borderId="0" xfId="0" applyFont="1" applyFill="1" applyBorder="1" applyAlignment="1">
      <alignment vertical="top" wrapText="1"/>
    </xf>
    <xf numFmtId="166" fontId="0" fillId="0" borderId="7" xfId="0" applyNumberFormat="1" applyFont="1" applyBorder="1" applyAlignment="1">
      <alignment horizontal="center" vertical="top" wrapText="1"/>
    </xf>
    <xf numFmtId="10" fontId="0" fillId="0" borderId="7" xfId="0" applyNumberFormat="1" applyFont="1" applyBorder="1" applyAlignment="1">
      <alignment horizontal="center" vertical="top" wrapText="1"/>
    </xf>
    <xf numFmtId="0" fontId="0" fillId="0" borderId="31" xfId="0" applyFont="1" applyFill="1" applyBorder="1" applyAlignment="1">
      <alignment vertical="top" wrapText="1"/>
    </xf>
    <xf numFmtId="0" fontId="0" fillId="3" borderId="7" xfId="0" applyFont="1" applyFill="1" applyBorder="1" applyAlignment="1">
      <alignment horizontal="center" vertical="center" wrapText="1"/>
    </xf>
    <xf numFmtId="10" fontId="0" fillId="3" borderId="7" xfId="0" applyNumberFormat="1" applyFont="1" applyFill="1" applyBorder="1" applyAlignment="1">
      <alignment horizontal="center" vertical="center" wrapText="1"/>
    </xf>
    <xf numFmtId="166" fontId="0" fillId="3" borderId="7"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66" fontId="43" fillId="0" borderId="34" xfId="0" applyNumberFormat="1" applyFont="1" applyBorder="1" applyAlignment="1">
      <alignment horizontal="center" vertical="center" wrapText="1"/>
    </xf>
    <xf numFmtId="0" fontId="0" fillId="0" borderId="32" xfId="0" applyFont="1" applyBorder="1" applyAlignment="1">
      <alignment horizontal="center" vertical="top" wrapText="1"/>
    </xf>
    <xf numFmtId="166" fontId="0" fillId="0" borderId="32" xfId="0" applyNumberFormat="1" applyFont="1" applyBorder="1" applyAlignment="1">
      <alignment horizontal="center" vertical="top" wrapText="1"/>
    </xf>
    <xf numFmtId="0" fontId="25" fillId="0" borderId="32" xfId="0" applyFont="1" applyBorder="1" applyAlignment="1">
      <alignment horizontal="center" vertical="top" wrapText="1"/>
    </xf>
    <xf numFmtId="0" fontId="33" fillId="3" borderId="7" xfId="0" applyFont="1" applyFill="1" applyBorder="1" applyAlignment="1" applyProtection="1">
      <alignment horizontal="center" vertical="center"/>
    </xf>
    <xf numFmtId="0" fontId="44" fillId="0" borderId="1" xfId="0" applyFont="1" applyFill="1" applyBorder="1" applyAlignment="1" applyProtection="1">
      <alignment horizontal="right" vertical="top"/>
    </xf>
    <xf numFmtId="0" fontId="45" fillId="0" borderId="0" xfId="0" applyFont="1" applyFill="1" applyAlignment="1" applyProtection="1">
      <alignment horizontal="right" vertical="top"/>
    </xf>
    <xf numFmtId="0" fontId="0" fillId="0" borderId="0" xfId="0" applyFont="1" applyFill="1" applyAlignment="1" applyProtection="1">
      <alignment vertical="center"/>
    </xf>
    <xf numFmtId="0" fontId="47" fillId="0" borderId="0" xfId="0" applyFont="1" applyAlignment="1" applyProtection="1">
      <alignment horizontal="right" vertical="top"/>
    </xf>
    <xf numFmtId="169" fontId="48" fillId="0" borderId="0" xfId="0" quotePrefix="1" applyNumberFormat="1" applyFont="1" applyAlignment="1" applyProtection="1">
      <alignment horizontal="center" vertical="center"/>
    </xf>
    <xf numFmtId="166" fontId="47" fillId="2" borderId="0" xfId="1" applyNumberFormat="1" applyFont="1" applyFill="1" applyAlignment="1" applyProtection="1">
      <alignment horizontal="right" vertical="center"/>
    </xf>
    <xf numFmtId="10" fontId="49" fillId="2" borderId="0" xfId="1" applyNumberFormat="1" applyFont="1" applyFill="1" applyAlignment="1" applyProtection="1">
      <alignment horizontal="right" vertical="center"/>
    </xf>
    <xf numFmtId="0" fontId="50" fillId="0" borderId="0" xfId="0" applyFont="1" applyAlignment="1" applyProtection="1">
      <alignment horizontal="right" vertical="top"/>
    </xf>
    <xf numFmtId="169" fontId="2" fillId="0" borderId="1" xfId="0" applyNumberFormat="1" applyFont="1" applyFill="1" applyBorder="1" applyAlignment="1" applyProtection="1">
      <alignment horizontal="center" vertical="center"/>
    </xf>
    <xf numFmtId="0" fontId="11" fillId="0" borderId="0" xfId="0" applyFont="1" applyAlignment="1" applyProtection="1">
      <alignment horizontal="left" vertical="top"/>
    </xf>
    <xf numFmtId="0" fontId="11" fillId="0" borderId="0" xfId="0" applyFont="1" applyAlignment="1" applyProtection="1">
      <alignment horizontal="left" vertical="center"/>
    </xf>
    <xf numFmtId="0" fontId="18" fillId="0" borderId="0" xfId="0" applyFont="1" applyBorder="1" applyAlignment="1" applyProtection="1">
      <alignment horizontal="left" vertical="top" wrapText="1"/>
    </xf>
    <xf numFmtId="10" fontId="41" fillId="2" borderId="7" xfId="3" applyNumberFormat="1" applyFont="1" applyFill="1" applyBorder="1" applyAlignment="1" applyProtection="1">
      <alignment vertical="top" wrapText="1"/>
    </xf>
    <xf numFmtId="0" fontId="46" fillId="2" borderId="7" xfId="0" applyFont="1" applyFill="1" applyBorder="1" applyAlignment="1" applyProtection="1">
      <alignment horizontal="right" vertical="top" wrapText="1"/>
    </xf>
    <xf numFmtId="166" fontId="0" fillId="6" borderId="1" xfId="1" applyNumberFormat="1" applyFont="1" applyFill="1" applyBorder="1" applyAlignment="1" applyProtection="1">
      <alignment vertical="top"/>
    </xf>
    <xf numFmtId="166" fontId="0" fillId="6" borderId="0" xfId="1" applyNumberFormat="1" applyFont="1" applyFill="1" applyBorder="1" applyAlignment="1" applyProtection="1">
      <alignment vertical="top"/>
    </xf>
    <xf numFmtId="4" fontId="0" fillId="6" borderId="1" xfId="0" applyNumberFormat="1" applyFont="1" applyFill="1" applyBorder="1" applyAlignment="1" applyProtection="1">
      <alignment horizontal="center" vertical="top"/>
    </xf>
    <xf numFmtId="2" fontId="3" fillId="6" borderId="1" xfId="0" applyNumberFormat="1" applyFont="1" applyFill="1" applyBorder="1" applyAlignment="1" applyProtection="1">
      <alignment horizontal="center" vertical="top"/>
    </xf>
    <xf numFmtId="2" fontId="3" fillId="6" borderId="0" xfId="0" applyNumberFormat="1" applyFont="1" applyFill="1" applyBorder="1" applyAlignment="1" applyProtection="1">
      <alignment horizontal="center" vertical="top"/>
    </xf>
    <xf numFmtId="166" fontId="0" fillId="0" borderId="39" xfId="0" applyNumberFormat="1" applyFont="1" applyFill="1" applyBorder="1" applyAlignment="1" applyProtection="1">
      <alignment horizontal="right" wrapText="1"/>
    </xf>
    <xf numFmtId="166" fontId="29" fillId="0" borderId="7" xfId="0" applyNumberFormat="1" applyFont="1" applyBorder="1" applyAlignment="1" applyProtection="1">
      <alignment horizontal="right" wrapText="1"/>
    </xf>
    <xf numFmtId="10" fontId="25" fillId="0" borderId="7" xfId="3" applyNumberFormat="1" applyFont="1" applyBorder="1" applyAlignment="1" applyProtection="1">
      <alignment horizontal="right" wrapText="1"/>
    </xf>
    <xf numFmtId="166" fontId="25" fillId="0" borderId="7" xfId="0" applyNumberFormat="1" applyFont="1" applyBorder="1" applyAlignment="1" applyProtection="1">
      <alignment horizontal="right" wrapText="1"/>
    </xf>
    <xf numFmtId="166" fontId="27" fillId="0" borderId="7" xfId="0" applyNumberFormat="1" applyFont="1" applyBorder="1" applyAlignment="1" applyProtection="1">
      <alignment horizontal="right" wrapText="1"/>
    </xf>
    <xf numFmtId="166" fontId="40" fillId="2" borderId="7" xfId="0" applyNumberFormat="1" applyFont="1" applyFill="1" applyBorder="1" applyAlignment="1" applyProtection="1">
      <alignment vertical="top" wrapText="1"/>
    </xf>
    <xf numFmtId="2" fontId="25" fillId="0" borderId="39" xfId="0" applyNumberFormat="1" applyFont="1" applyFill="1" applyBorder="1" applyAlignment="1" applyProtection="1">
      <alignment horizontal="right" wrapText="1"/>
    </xf>
    <xf numFmtId="166" fontId="29" fillId="0" borderId="38" xfId="0" applyNumberFormat="1" applyFont="1" applyBorder="1" applyAlignment="1" applyProtection="1">
      <alignment horizontal="right" wrapText="1"/>
    </xf>
    <xf numFmtId="0" fontId="3" fillId="0" borderId="39" xfId="0" applyFont="1" applyBorder="1" applyAlignment="1" applyProtection="1">
      <alignment horizontal="right" vertical="top" wrapText="1"/>
    </xf>
    <xf numFmtId="0" fontId="15" fillId="0" borderId="38" xfId="0" applyFont="1" applyBorder="1" applyAlignment="1" applyProtection="1">
      <alignment horizontal="right" vertical="top" wrapText="1"/>
    </xf>
    <xf numFmtId="0" fontId="3" fillId="0" borderId="7" xfId="0" applyFont="1" applyBorder="1" applyAlignment="1" applyProtection="1">
      <alignment horizontal="right" vertical="top" wrapText="1"/>
    </xf>
    <xf numFmtId="0" fontId="3" fillId="0" borderId="7" xfId="0" applyFont="1" applyFill="1" applyBorder="1" applyAlignment="1" applyProtection="1">
      <alignment horizontal="right" vertical="top" wrapText="1"/>
    </xf>
    <xf numFmtId="0" fontId="15" fillId="0" borderId="7" xfId="0" applyFont="1" applyBorder="1" applyAlignment="1" applyProtection="1">
      <alignment horizontal="right" vertical="top" wrapText="1"/>
    </xf>
    <xf numFmtId="0" fontId="2" fillId="0" borderId="7" xfId="0" applyFont="1" applyBorder="1" applyAlignment="1" applyProtection="1">
      <alignment horizontal="right" vertical="top" wrapText="1"/>
    </xf>
    <xf numFmtId="10" fontId="25" fillId="0" borderId="7" xfId="0" applyNumberFormat="1" applyFont="1" applyFill="1" applyBorder="1" applyAlignment="1" applyProtection="1">
      <alignment horizontal="right" wrapText="1"/>
    </xf>
    <xf numFmtId="0" fontId="33" fillId="0" borderId="1" xfId="0" applyFont="1" applyFill="1" applyBorder="1" applyAlignment="1" applyProtection="1">
      <alignment horizontal="center" vertical="top"/>
    </xf>
    <xf numFmtId="166" fontId="27" fillId="3" borderId="7" xfId="0" applyNumberFormat="1" applyFont="1" applyFill="1" applyBorder="1" applyAlignment="1" applyProtection="1">
      <alignment horizontal="center" vertical="top"/>
    </xf>
    <xf numFmtId="0" fontId="27" fillId="6" borderId="7" xfId="0" applyFont="1" applyFill="1" applyBorder="1" applyAlignment="1">
      <alignment horizontal="right" vertical="center" wrapText="1"/>
    </xf>
    <xf numFmtId="0" fontId="0" fillId="0" borderId="0" xfId="0" applyFont="1" applyBorder="1" applyAlignment="1">
      <alignment vertical="center" wrapText="1"/>
    </xf>
    <xf numFmtId="166" fontId="40" fillId="2" borderId="34" xfId="0" applyNumberFormat="1" applyFont="1" applyFill="1" applyBorder="1" applyAlignment="1">
      <alignment horizontal="center" vertical="top" wrapText="1"/>
    </xf>
    <xf numFmtId="4" fontId="0" fillId="0" borderId="7" xfId="0" applyNumberFormat="1" applyFont="1" applyFill="1" applyBorder="1" applyAlignment="1">
      <alignment horizontal="center" vertical="top" wrapText="1"/>
    </xf>
    <xf numFmtId="10" fontId="27" fillId="7" borderId="7" xfId="0" applyNumberFormat="1" applyFont="1" applyFill="1" applyBorder="1" applyAlignment="1" applyProtection="1">
      <alignment horizontal="center" vertical="top"/>
    </xf>
    <xf numFmtId="2" fontId="27" fillId="7" borderId="7" xfId="0" applyNumberFormat="1" applyFont="1" applyFill="1" applyBorder="1" applyAlignment="1" applyProtection="1">
      <alignment horizontal="center" vertical="top"/>
    </xf>
    <xf numFmtId="10" fontId="41" fillId="2" borderId="34" xfId="0" applyNumberFormat="1" applyFont="1" applyFill="1" applyBorder="1" applyAlignment="1">
      <alignment horizontal="center" vertical="top" wrapText="1"/>
    </xf>
    <xf numFmtId="0" fontId="27" fillId="0" borderId="33" xfId="0" applyFont="1" applyFill="1" applyBorder="1" applyAlignment="1">
      <alignment horizontal="center" vertical="top" wrapText="1"/>
    </xf>
    <xf numFmtId="0" fontId="27" fillId="0" borderId="7" xfId="0" applyFont="1" applyFill="1" applyBorder="1" applyAlignment="1">
      <alignment horizontal="center" vertical="top" wrapText="1"/>
    </xf>
    <xf numFmtId="0" fontId="44" fillId="0" borderId="33" xfId="0" applyFont="1" applyFill="1" applyBorder="1" applyAlignment="1" applyProtection="1">
      <alignment horizontal="center" vertical="top"/>
    </xf>
    <xf numFmtId="0" fontId="44" fillId="0" borderId="7" xfId="0" applyFont="1" applyFill="1" applyBorder="1" applyAlignment="1" applyProtection="1">
      <alignment horizontal="center" vertical="top"/>
    </xf>
    <xf numFmtId="0" fontId="27" fillId="4" borderId="7" xfId="0" applyFont="1" applyFill="1" applyBorder="1" applyAlignment="1">
      <alignment horizontal="center" vertical="center" wrapText="1"/>
    </xf>
    <xf numFmtId="0" fontId="27" fillId="4" borderId="23" xfId="0" applyFont="1" applyFill="1" applyBorder="1" applyAlignment="1">
      <alignment horizontal="center" vertical="center" wrapText="1"/>
    </xf>
    <xf numFmtId="0" fontId="27" fillId="0" borderId="20" xfId="0" applyFont="1" applyBorder="1" applyAlignment="1">
      <alignment horizontal="left" vertical="top" wrapText="1"/>
    </xf>
    <xf numFmtId="0" fontId="27" fillId="0" borderId="0" xfId="0" applyFont="1" applyBorder="1" applyAlignment="1">
      <alignment horizontal="left" vertical="top" wrapText="1"/>
    </xf>
    <xf numFmtId="0" fontId="27" fillId="0" borderId="21" xfId="0" applyFont="1" applyBorder="1" applyAlignment="1">
      <alignment horizontal="left" vertical="top" wrapText="1"/>
    </xf>
    <xf numFmtId="0" fontId="39" fillId="0" borderId="17"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19" xfId="0" applyFont="1" applyBorder="1" applyAlignment="1">
      <alignment horizontal="center" vertical="center" wrapText="1"/>
    </xf>
    <xf numFmtId="0" fontId="27" fillId="0" borderId="31" xfId="0" applyFont="1" applyBorder="1" applyAlignment="1">
      <alignment horizontal="left" vertical="center" wrapText="1"/>
    </xf>
    <xf numFmtId="0" fontId="27" fillId="0" borderId="0" xfId="0" applyFont="1" applyBorder="1" applyAlignment="1">
      <alignment horizontal="left" vertical="center" wrapText="1"/>
    </xf>
    <xf numFmtId="0" fontId="27" fillId="0" borderId="33" xfId="0" applyFont="1" applyBorder="1" applyAlignment="1">
      <alignment horizontal="center" vertical="center" wrapText="1"/>
    </xf>
    <xf numFmtId="0" fontId="27" fillId="0" borderId="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30" xfId="0" applyFont="1" applyBorder="1" applyAlignment="1">
      <alignment horizontal="center" vertical="center" wrapText="1"/>
    </xf>
    <xf numFmtId="0" fontId="0" fillId="4" borderId="16" xfId="0" applyFont="1" applyFill="1" applyBorder="1" applyAlignment="1">
      <alignment horizontal="center" vertical="top" wrapText="1"/>
    </xf>
    <xf numFmtId="0" fontId="0" fillId="4" borderId="6" xfId="0" applyFont="1" applyFill="1" applyBorder="1" applyAlignment="1">
      <alignment horizontal="center" vertical="top" wrapText="1"/>
    </xf>
    <xf numFmtId="0" fontId="0" fillId="4" borderId="15" xfId="0" applyFont="1" applyFill="1" applyBorder="1" applyAlignment="1">
      <alignment horizontal="center" vertical="top" wrapText="1"/>
    </xf>
    <xf numFmtId="0" fontId="0" fillId="5" borderId="24" xfId="0" applyFont="1" applyFill="1" applyBorder="1" applyAlignment="1">
      <alignment horizontal="center" vertical="top" wrapText="1"/>
    </xf>
    <xf numFmtId="0" fontId="0" fillId="5" borderId="6" xfId="0" applyFont="1" applyFill="1" applyBorder="1" applyAlignment="1">
      <alignment horizontal="center" vertical="top" wrapText="1"/>
    </xf>
    <xf numFmtId="0" fontId="27" fillId="6" borderId="33" xfId="0" applyFont="1" applyFill="1" applyBorder="1" applyAlignment="1">
      <alignment horizontal="center" vertical="top" wrapText="1"/>
    </xf>
    <xf numFmtId="0" fontId="27" fillId="6" borderId="7" xfId="0" applyFont="1" applyFill="1" applyBorder="1" applyAlignment="1">
      <alignment horizontal="center" vertical="top" wrapText="1"/>
    </xf>
    <xf numFmtId="0" fontId="29" fillId="6" borderId="33" xfId="0" applyFont="1" applyFill="1" applyBorder="1" applyAlignment="1">
      <alignment horizontal="right" vertical="top" wrapText="1"/>
    </xf>
    <xf numFmtId="0" fontId="29" fillId="6" borderId="7" xfId="0" applyFont="1" applyFill="1" applyBorder="1" applyAlignment="1">
      <alignment horizontal="right" vertical="top" wrapText="1"/>
    </xf>
    <xf numFmtId="0" fontId="27" fillId="6" borderId="33" xfId="0" applyFont="1" applyFill="1" applyBorder="1" applyAlignment="1">
      <alignment horizontal="right" vertical="top" wrapText="1"/>
    </xf>
    <xf numFmtId="0" fontId="27" fillId="6" borderId="7" xfId="0" applyFont="1" applyFill="1" applyBorder="1" applyAlignment="1">
      <alignment horizontal="right" vertical="top" wrapText="1"/>
    </xf>
    <xf numFmtId="0" fontId="52" fillId="0" borderId="40" xfId="0" applyFont="1" applyBorder="1" applyAlignment="1" applyProtection="1">
      <alignment horizontal="center" vertical="top" wrapText="1"/>
    </xf>
    <xf numFmtId="0" fontId="52" fillId="0" borderId="41" xfId="0" applyFont="1" applyBorder="1" applyAlignment="1" applyProtection="1">
      <alignment horizontal="center" vertical="top" wrapText="1"/>
    </xf>
    <xf numFmtId="0" fontId="4" fillId="0" borderId="0" xfId="0" applyFont="1" applyAlignment="1" applyProtection="1">
      <alignment horizontal="left" vertical="top"/>
    </xf>
    <xf numFmtId="0" fontId="47" fillId="2" borderId="7" xfId="0" applyFont="1" applyFill="1" applyBorder="1" applyAlignment="1" applyProtection="1">
      <alignment horizontal="center" vertical="top" wrapText="1"/>
    </xf>
    <xf numFmtId="0" fontId="51" fillId="0" borderId="8" xfId="0" applyFont="1" applyBorder="1" applyAlignment="1" applyProtection="1">
      <alignment horizontal="center" vertical="top" wrapText="1"/>
    </xf>
    <xf numFmtId="0" fontId="51" fillId="0" borderId="10" xfId="0" applyFont="1" applyBorder="1" applyAlignment="1" applyProtection="1">
      <alignment horizontal="center" vertical="top" wrapText="1"/>
    </xf>
    <xf numFmtId="0" fontId="36" fillId="0" borderId="2" xfId="4" applyFont="1" applyBorder="1" applyAlignment="1">
      <alignment horizontal="center" vertical="center"/>
    </xf>
    <xf numFmtId="0" fontId="36" fillId="0" borderId="12" xfId="4" applyFont="1" applyBorder="1" applyAlignment="1">
      <alignment horizontal="center" vertical="center"/>
    </xf>
    <xf numFmtId="0" fontId="36" fillId="0" borderId="4" xfId="4" applyFont="1" applyBorder="1" applyAlignment="1">
      <alignment horizontal="center" vertical="center"/>
    </xf>
    <xf numFmtId="0" fontId="36" fillId="0" borderId="14" xfId="4" applyFont="1" applyBorder="1" applyAlignment="1">
      <alignment horizontal="center" vertical="center"/>
    </xf>
    <xf numFmtId="0" fontId="36" fillId="0" borderId="11" xfId="4" applyFont="1" applyBorder="1" applyAlignment="1">
      <alignment horizontal="center" vertical="center"/>
    </xf>
    <xf numFmtId="0" fontId="36" fillId="0" borderId="0" xfId="4" applyFont="1" applyAlignment="1">
      <alignment horizontal="center" vertical="center"/>
    </xf>
    <xf numFmtId="0" fontId="32" fillId="0" borderId="0" xfId="4"/>
    <xf numFmtId="0" fontId="36" fillId="0" borderId="12" xfId="4" applyFont="1" applyBorder="1"/>
    <xf numFmtId="1" fontId="0" fillId="8" borderId="7" xfId="0" applyNumberFormat="1" applyFont="1" applyFill="1" applyBorder="1" applyAlignment="1">
      <alignment horizontal="center" vertical="top" wrapText="1"/>
    </xf>
    <xf numFmtId="2" fontId="2" fillId="9" borderId="1" xfId="0" applyNumberFormat="1" applyFont="1" applyFill="1" applyBorder="1" applyAlignment="1" applyProtection="1">
      <alignment horizontal="center" vertical="top"/>
    </xf>
    <xf numFmtId="166" fontId="29" fillId="9" borderId="39" xfId="0" applyNumberFormat="1" applyFont="1" applyFill="1" applyBorder="1" applyAlignment="1" applyProtection="1">
      <alignment horizontal="right" wrapText="1"/>
    </xf>
    <xf numFmtId="0" fontId="0" fillId="3" borderId="0" xfId="0" applyFont="1" applyFill="1" applyAlignment="1">
      <alignment vertical="top" wrapText="1"/>
    </xf>
    <xf numFmtId="10" fontId="27" fillId="9" borderId="6" xfId="0" applyNumberFormat="1" applyFont="1" applyFill="1" applyBorder="1" applyAlignment="1" applyProtection="1">
      <alignment horizontal="center" vertical="top"/>
    </xf>
    <xf numFmtId="10" fontId="0" fillId="3" borderId="7" xfId="3" applyNumberFormat="1" applyFont="1" applyFill="1" applyBorder="1" applyAlignment="1">
      <alignment horizontal="center" vertical="center" wrapText="1"/>
    </xf>
    <xf numFmtId="4" fontId="27" fillId="9" borderId="1" xfId="0" applyNumberFormat="1" applyFont="1" applyFill="1" applyBorder="1" applyAlignment="1" applyProtection="1">
      <alignment horizontal="center" vertical="top"/>
    </xf>
  </cellXfs>
  <cellStyles count="7">
    <cellStyle name="Milliers" xfId="2" builtinId="3"/>
    <cellStyle name="Milliers 2" xfId="6" xr:uid="{6C139BD8-36CA-4B1A-BD4F-ADD32559530B}"/>
    <cellStyle name="Monétaire" xfId="1" builtinId="4"/>
    <cellStyle name="Normal" xfId="0" builtinId="0"/>
    <cellStyle name="Normal 2" xfId="4" xr:uid="{00000000-0005-0000-0000-000004000000}"/>
    <cellStyle name="Pourcentage" xfId="3" builtinId="5"/>
    <cellStyle name="Pourcentage 2" xfId="5" xr:uid="{8ABD0431-9470-4A99-8688-EE6D3B51C02A}"/>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495300</xdr:colOff>
      <xdr:row>0</xdr:row>
      <xdr:rowOff>0</xdr:rowOff>
    </xdr:from>
    <xdr:to>
      <xdr:col>13</xdr:col>
      <xdr:colOff>615950</xdr:colOff>
      <xdr:row>17</xdr:row>
      <xdr:rowOff>57150</xdr:rowOff>
    </xdr:to>
    <xdr:sp macro="" textlink="">
      <xdr:nvSpPr>
        <xdr:cNvPr id="3" name="ZoneTexte 2">
          <a:extLst>
            <a:ext uri="{FF2B5EF4-FFF2-40B4-BE49-F238E27FC236}">
              <a16:creationId xmlns:a16="http://schemas.microsoft.com/office/drawing/2014/main" id="{70AB0145-BE79-4678-BC9D-B4B68D31F43D}"/>
            </a:ext>
          </a:extLst>
        </xdr:cNvPr>
        <xdr:cNvSpPr txBox="1"/>
      </xdr:nvSpPr>
      <xdr:spPr>
        <a:xfrm>
          <a:off x="495300" y="482600"/>
          <a:ext cx="10026650" cy="2908300"/>
        </a:xfrm>
        <a:prstGeom prst="rect">
          <a:avLst/>
        </a:prstGeom>
      </xdr:spPr>
      <xdr:txBody>
        <a:bodyPr vertOverflow="clip" horzOverflow="clip" vert="horz" wrap="none" lIns="91440" tIns="45720" rIns="91440" bIns="45720" rtlCol="0" anchor="ctr">
          <a:normAutofit/>
        </a:bodyPr>
        <a:lstStyle/>
        <a:p>
          <a:endParaRPr lang="fr-BE" sz="1100" b="1" dirty="0"/>
        </a:p>
      </xdr:txBody>
    </xdr:sp>
    <xdr:clientData/>
  </xdr:twoCellAnchor>
  <xdr:oneCellAnchor>
    <xdr:from>
      <xdr:col>0</xdr:col>
      <xdr:colOff>0</xdr:colOff>
      <xdr:row>0</xdr:row>
      <xdr:rowOff>0</xdr:rowOff>
    </xdr:from>
    <xdr:ext cx="13967460" cy="9715500"/>
    <xdr:sp macro="" textlink="">
      <xdr:nvSpPr>
        <xdr:cNvPr id="4" name="ZoneTexte 3">
          <a:extLst>
            <a:ext uri="{FF2B5EF4-FFF2-40B4-BE49-F238E27FC236}">
              <a16:creationId xmlns:a16="http://schemas.microsoft.com/office/drawing/2014/main" id="{D36D2614-5A70-4AA6-BD5C-ADA992751EC2}"/>
            </a:ext>
          </a:extLst>
        </xdr:cNvPr>
        <xdr:cNvSpPr txBox="1"/>
      </xdr:nvSpPr>
      <xdr:spPr>
        <a:xfrm>
          <a:off x="0" y="0"/>
          <a:ext cx="13967460" cy="9715500"/>
        </a:xfrm>
        <a:prstGeom prst="rect">
          <a:avLst/>
        </a:prstGeom>
      </xdr:spPr>
      <xdr:txBody>
        <a:bodyPr vertOverflow="clip" horzOverflow="clip" vert="horz" wrap="square" lIns="91440" tIns="45720" rIns="91440" bIns="45720" rtlCol="0" anchor="t">
          <a:noAutofit/>
        </a:bodyPr>
        <a:lstStyle/>
        <a:p>
          <a:endParaRPr lang="fr-BE" sz="1100" b="1" cap="all">
            <a:effectLst/>
            <a:latin typeface="+mn-lt"/>
            <a:ea typeface="+mn-ea"/>
            <a:cs typeface="+mn-cs"/>
          </a:endParaRPr>
        </a:p>
        <a:p>
          <a:endParaRPr lang="fr-BE" sz="1100" b="1" cap="all">
            <a:effectLst/>
            <a:latin typeface="+mn-lt"/>
            <a:ea typeface="+mn-ea"/>
            <a:cs typeface="+mn-cs"/>
          </a:endParaRPr>
        </a:p>
        <a:p>
          <a:endParaRPr lang="fr-BE" sz="1100" b="1" cap="all">
            <a:effectLst/>
            <a:latin typeface="+mn-lt"/>
            <a:ea typeface="+mn-ea"/>
            <a:cs typeface="+mn-cs"/>
          </a:endParaRPr>
        </a:p>
        <a:p>
          <a:r>
            <a:rPr lang="fr-BE" sz="1100" b="1" cap="all">
              <a:effectLst/>
              <a:latin typeface="+mn-lt"/>
              <a:ea typeface="+mn-ea"/>
              <a:cs typeface="+mn-cs"/>
            </a:rPr>
            <a:t>Instructions pour remplir le simulateur UNIPSO</a:t>
          </a:r>
        </a:p>
        <a:p>
          <a:r>
            <a:rPr lang="fr-BE" sz="1100" b="1" u="sng">
              <a:effectLst/>
              <a:latin typeface="+mn-lt"/>
              <a:ea typeface="+mn-ea"/>
              <a:cs typeface="+mn-cs"/>
            </a:rPr>
            <a:t>Avertissement :</a:t>
          </a:r>
          <a:r>
            <a:rPr lang="fr-BE" sz="1100" b="1">
              <a:effectLst/>
              <a:latin typeface="+mn-lt"/>
              <a:ea typeface="+mn-ea"/>
              <a:cs typeface="+mn-cs"/>
            </a:rPr>
            <a:t> ce simulateur est un outil développé par l’UNIPSO, sur base d’un outil développé par la CESSOC. Il n’a aucun caractère officiel et est purement indicatif. Il se base sur un avant-projet de décret, susceptible d’évoluer par la suite. </a:t>
          </a:r>
          <a:endParaRPr lang="fr-BE" sz="1100">
            <a:effectLst/>
            <a:latin typeface="+mn-lt"/>
            <a:ea typeface="+mn-ea"/>
            <a:cs typeface="+mn-cs"/>
          </a:endParaRPr>
        </a:p>
        <a:p>
          <a:r>
            <a:rPr lang="fr-BE" sz="1100">
              <a:effectLst/>
              <a:latin typeface="+mn-lt"/>
              <a:ea typeface="+mn-ea"/>
              <a:cs typeface="+mn-cs"/>
            </a:rPr>
            <a:t> </a:t>
          </a:r>
        </a:p>
        <a:p>
          <a:r>
            <a:rPr lang="fr-BE" sz="1100" b="1">
              <a:effectLst/>
              <a:latin typeface="+mn-lt"/>
              <a:ea typeface="+mn-ea"/>
              <a:cs typeface="+mn-cs"/>
            </a:rPr>
            <a:t>Il se base aussi sur des données qui ne sont pas encore consolidées et que l’on ne peut qu’estimer.</a:t>
          </a:r>
          <a:endParaRPr lang="fr-BE" sz="1100">
            <a:effectLst/>
            <a:latin typeface="+mn-lt"/>
            <a:ea typeface="+mn-ea"/>
            <a:cs typeface="+mn-cs"/>
          </a:endParaRPr>
        </a:p>
        <a:p>
          <a:r>
            <a:rPr lang="fr-BE" sz="1100">
              <a:effectLst/>
              <a:latin typeface="+mn-lt"/>
              <a:ea typeface="+mn-ea"/>
              <a:cs typeface="+mn-cs"/>
            </a:rPr>
            <a:t> </a:t>
          </a:r>
        </a:p>
        <a:p>
          <a:r>
            <a:rPr lang="fr-BE" sz="1100" b="1">
              <a:effectLst/>
              <a:latin typeface="+mn-lt"/>
              <a:ea typeface="+mn-ea"/>
              <a:cs typeface="+mn-cs"/>
            </a:rPr>
            <a:t>Par rapport aux chiffres données par le FOREM, ils se calculent de la manière expliquée dans le « vade-mecum » du FOREM. Vous pouvez donc faire l’exercice de les vérifier et le cas échéant, contacter le FOREM s’il y a des différences.</a:t>
          </a:r>
          <a:endParaRPr lang="fr-BE" sz="1100">
            <a:effectLst/>
            <a:latin typeface="+mn-lt"/>
            <a:ea typeface="+mn-ea"/>
            <a:cs typeface="+mn-cs"/>
          </a:endParaRPr>
        </a:p>
        <a:p>
          <a:r>
            <a:rPr lang="fr-BE" sz="1100" b="1" u="none" strike="noStrike">
              <a:effectLst/>
              <a:latin typeface="+mn-lt"/>
              <a:ea typeface="+mn-ea"/>
              <a:cs typeface="+mn-cs"/>
            </a:rPr>
            <a:t> </a:t>
          </a:r>
          <a:endParaRPr lang="fr-BE" sz="1100">
            <a:effectLst/>
            <a:latin typeface="+mn-lt"/>
            <a:ea typeface="+mn-ea"/>
            <a:cs typeface="+mn-cs"/>
          </a:endParaRPr>
        </a:p>
        <a:p>
          <a:r>
            <a:rPr lang="fr-BE" sz="1100" b="1" u="sng" cap="small">
              <a:effectLst/>
              <a:latin typeface="+mn-lt"/>
              <a:ea typeface="+mn-ea"/>
              <a:cs typeface="+mn-cs"/>
            </a:rPr>
            <a:t>Onglet "Données FOREM et simulation UNIPSO"</a:t>
          </a:r>
        </a:p>
        <a:p>
          <a:r>
            <a:rPr lang="fr-BE" sz="1100" b="1" i="1">
              <a:effectLst/>
              <a:latin typeface="+mn-lt"/>
              <a:ea typeface="+mn-ea"/>
              <a:cs typeface="+mn-cs"/>
            </a:rPr>
            <a:t>Fonctionnement du simulateur</a:t>
          </a:r>
        </a:p>
        <a:p>
          <a:r>
            <a:rPr lang="fr-BE" sz="1100">
              <a:effectLst/>
              <a:latin typeface="+mn-lt"/>
              <a:ea typeface="+mn-ea"/>
              <a:cs typeface="+mn-cs"/>
            </a:rPr>
            <a:t>Comme le simulateur repris sur le site du FOREM, cela va vous permettre d’estimer votre subvention APE pour 2022 avec la réforme, avec les données qui vous ont été communiquées le 29/1/21 par le FOREM (à compléter dans le tableau « données FOREM »).</a:t>
          </a:r>
        </a:p>
        <a:p>
          <a:r>
            <a:rPr lang="fr-BE" sz="1100">
              <a:effectLst/>
              <a:latin typeface="+mn-lt"/>
              <a:ea typeface="+mn-ea"/>
              <a:cs typeface="+mn-cs"/>
            </a:rPr>
            <a:t> </a:t>
          </a:r>
        </a:p>
        <a:p>
          <a:r>
            <a:rPr lang="fr-BE" sz="1100">
              <a:effectLst/>
              <a:latin typeface="+mn-lt"/>
              <a:ea typeface="+mn-ea"/>
              <a:cs typeface="+mn-cs"/>
            </a:rPr>
            <a:t>Le tableau « Simulation UNIPSO » va vous permettre de comparer la subvention estimée dans le nouveau système, avec celle dont vous auriez pu bénéficier sans réforme. </a:t>
          </a:r>
        </a:p>
        <a:p>
          <a:r>
            <a:rPr lang="fr-BE" sz="1100">
              <a:effectLst/>
              <a:latin typeface="+mn-lt"/>
              <a:ea typeface="+mn-ea"/>
              <a:cs typeface="+mn-cs"/>
            </a:rPr>
            <a:t> </a:t>
          </a:r>
        </a:p>
        <a:p>
          <a:r>
            <a:rPr lang="fr-BE" sz="1100">
              <a:effectLst/>
              <a:latin typeface="+mn-lt"/>
              <a:ea typeface="+mn-ea"/>
              <a:cs typeface="+mn-cs"/>
            </a:rPr>
            <a:t>Attention : le simulateur calcule, par défaut, un taux d'occupation basé sur les valeurs C et F du FOREM qui sont pondérées selon le poids relatif des points APE (V1) et celui des RCSS (V2) dans le subventionnement total.</a:t>
          </a:r>
        </a:p>
        <a:p>
          <a:r>
            <a:rPr lang="fr-BE" sz="1100" i="1">
              <a:effectLst/>
              <a:latin typeface="+mn-lt"/>
              <a:ea typeface="+mn-ea"/>
              <a:cs typeface="+mn-cs"/>
            </a:rPr>
            <a:t> </a:t>
          </a:r>
          <a:endParaRPr lang="fr-BE" sz="1100">
            <a:effectLst/>
            <a:latin typeface="+mn-lt"/>
            <a:ea typeface="+mn-ea"/>
            <a:cs typeface="+mn-cs"/>
          </a:endParaRPr>
        </a:p>
        <a:p>
          <a:r>
            <a:rPr lang="fr-BE" sz="1100">
              <a:effectLst/>
              <a:latin typeface="+mn-lt"/>
              <a:ea typeface="+mn-ea"/>
              <a:cs typeface="+mn-cs"/>
            </a:rPr>
            <a:t>Vous pouvez, estimer un autre coefficient d’occupation pour l’année 2022 en modifiant la valeur de la </a:t>
          </a:r>
          <a:r>
            <a:rPr lang="fr-BE" sz="1100" u="sng">
              <a:effectLst/>
              <a:latin typeface="+mn-lt"/>
              <a:ea typeface="+mn-ea"/>
              <a:cs typeface="+mn-cs"/>
            </a:rPr>
            <a:t>cellule verte K20</a:t>
          </a:r>
          <a:r>
            <a:rPr lang="fr-BE" sz="1100">
              <a:effectLst/>
              <a:latin typeface="+mn-lt"/>
              <a:ea typeface="+mn-ea"/>
              <a:cs typeface="+mn-cs"/>
            </a:rPr>
            <a:t> dans l'onglet "Données FOREm &amp; Simul. UNIPSO" . Il s'agit ici d'estimer des périodes en 	2022 pendant lesquelles le travailleur n'est pas rémunéré par l'employeur (et n'est pas remplacé) et/ou le temps nécessaire entre deux remplacements.</a:t>
          </a:r>
        </a:p>
        <a:p>
          <a:r>
            <a:rPr lang="fr-BE" sz="1100" b="1" i="1">
              <a:effectLst/>
              <a:latin typeface="+mn-lt"/>
              <a:ea typeface="+mn-ea"/>
              <a:cs typeface="+mn-cs"/>
            </a:rPr>
            <a:t> </a:t>
          </a:r>
          <a:endParaRPr lang="fr-BE" sz="1100">
            <a:effectLst/>
            <a:latin typeface="+mn-lt"/>
            <a:ea typeface="+mn-ea"/>
            <a:cs typeface="+mn-cs"/>
          </a:endParaRPr>
        </a:p>
        <a:p>
          <a:r>
            <a:rPr lang="fr-BE" sz="1100">
              <a:effectLst/>
              <a:latin typeface="+mn-lt"/>
              <a:ea typeface="+mn-ea"/>
              <a:cs typeface="+mn-cs"/>
            </a:rPr>
            <a:t>A ce stade, nous n’avons pas encore connaissance de la manière dont la nouvelle subvention évoluera à l’avenir (cela doit être prévu par l’arrêté d’exécution qui n’a pas encore été adopté en première lecture par le Gouvernement wallon).</a:t>
          </a:r>
        </a:p>
        <a:p>
          <a:endParaRPr lang="fr-BE" sz="1100" b="1" i="1">
            <a:effectLst/>
            <a:latin typeface="+mn-lt"/>
            <a:ea typeface="+mn-ea"/>
            <a:cs typeface="+mn-cs"/>
          </a:endParaRPr>
        </a:p>
        <a:p>
          <a:r>
            <a:rPr lang="fr-BE" sz="1100" b="1" i="1">
              <a:effectLst/>
              <a:latin typeface="+mn-lt"/>
              <a:ea typeface="+mn-ea"/>
              <a:cs typeface="+mn-cs"/>
            </a:rPr>
            <a:t>Données FOREM</a:t>
          </a:r>
        </a:p>
        <a:p>
          <a:r>
            <a:rPr lang="fr-BE" sz="1100">
              <a:effectLst/>
              <a:latin typeface="+mn-lt"/>
              <a:ea typeface="+mn-ea"/>
              <a:cs typeface="+mn-cs"/>
            </a:rPr>
            <a:t>Dans le tableau "Données du FOREM", il faut remplir les données qui figurent sur le courrier que le FOREM vous a adressé ce 29/1/21.</a:t>
          </a:r>
        </a:p>
        <a:p>
          <a:r>
            <a:rPr lang="fr-BE" sz="1100">
              <a:effectLst/>
              <a:latin typeface="+mn-lt"/>
              <a:ea typeface="+mn-ea"/>
              <a:cs typeface="+mn-cs"/>
            </a:rPr>
            <a:t> </a:t>
          </a:r>
        </a:p>
        <a:p>
          <a:r>
            <a:rPr lang="fr-BE" sz="1100">
              <a:effectLst/>
              <a:latin typeface="+mn-lt"/>
              <a:ea typeface="+mn-ea"/>
              <a:cs typeface="+mn-cs"/>
            </a:rPr>
            <a:t>Pour les variables B (valeur du point 2022) et G (indexation de la partie « réductions ONSS »), elles sont fixes et se basent sur les estimations FOREM. Elles sont susceptibles d’évoluer.</a:t>
          </a:r>
        </a:p>
        <a:p>
          <a:r>
            <a:rPr lang="fr-BE" sz="1100">
              <a:effectLst/>
              <a:latin typeface="+mn-lt"/>
              <a:ea typeface="+mn-ea"/>
              <a:cs typeface="+mn-cs"/>
            </a:rPr>
            <a:t>Les variables A (points octroyés au 30/09/2021), D (ETP réalisés entre le 1/10/2020 et le 30/09/2021) sont des estimations faites par le FOREM sur base des dernières données disponibles. Si vous avez connaissance d'autres éléments (par exemple, points et ETP "reçus" suite à l'absorption d'une autre ASBL) vous pouvez les indiquer dans le simulateur pour correspondre à votre nouvelle réalité.</a:t>
          </a:r>
        </a:p>
        <a:p>
          <a:endParaRPr lang="fr-BE" sz="1100" b="1" i="1">
            <a:effectLst/>
            <a:latin typeface="+mn-lt"/>
            <a:ea typeface="+mn-ea"/>
            <a:cs typeface="+mn-cs"/>
          </a:endParaRPr>
        </a:p>
        <a:p>
          <a:r>
            <a:rPr lang="fr-BE" sz="1100" b="1" i="1">
              <a:effectLst/>
              <a:latin typeface="+mn-lt"/>
              <a:ea typeface="+mn-ea"/>
              <a:cs typeface="+mn-cs"/>
            </a:rPr>
            <a:t>Simulation UNIPSO</a:t>
          </a:r>
        </a:p>
        <a:p>
          <a:r>
            <a:rPr lang="fr-BE" sz="1100" b="1" u="sng">
              <a:effectLst/>
              <a:latin typeface="+mn-lt"/>
              <a:ea typeface="+mn-ea"/>
              <a:cs typeface="+mn-cs"/>
            </a:rPr>
            <a:t>Complétez les données suivantes : </a:t>
          </a:r>
          <a:endParaRPr lang="fr-BE" sz="1100">
            <a:effectLst/>
            <a:latin typeface="+mn-lt"/>
            <a:ea typeface="+mn-ea"/>
            <a:cs typeface="+mn-cs"/>
          </a:endParaRPr>
        </a:p>
        <a:p>
          <a:r>
            <a:rPr lang="fr-BE" sz="1100">
              <a:effectLst/>
              <a:latin typeface="+mn-lt"/>
              <a:ea typeface="+mn-ea"/>
              <a:cs typeface="+mn-cs"/>
            </a:rPr>
            <a:t>1. Sélectionner dans le menu déroulant votre commission paritaire : choisissez votre (S)CP dans le menu déroulant : si vous ne la trouvez pas, indiquez « autres ».</a:t>
          </a:r>
        </a:p>
        <a:p>
          <a:r>
            <a:rPr lang="fr-BE" sz="1100">
              <a:effectLst/>
              <a:latin typeface="+mn-lt"/>
              <a:ea typeface="+mn-ea"/>
              <a:cs typeface="+mn-cs"/>
            </a:rPr>
            <a:t>2. Forfait d’ancienneté estimé pour 2022 : indiquez le forfait d’ancienneté que vous avez reçu en 2020</a:t>
          </a:r>
        </a:p>
        <a:p>
          <a:r>
            <a:rPr lang="fr-BE" sz="1100">
              <a:effectLst/>
              <a:latin typeface="+mn-lt"/>
              <a:ea typeface="+mn-ea"/>
              <a:cs typeface="+mn-cs"/>
            </a:rPr>
            <a:t>En outre, si vous souhaitez modifier les valeurs suivantes pour les adapter au mieux à la réalité de votre entreprise, procédez selon les instructions qui suivent : </a:t>
          </a:r>
        </a:p>
        <a:p>
          <a:pPr lvl="0"/>
          <a:r>
            <a:rPr lang="fr-BE" sz="1100">
              <a:effectLst/>
              <a:latin typeface="+mn-lt"/>
              <a:ea typeface="+mn-ea"/>
              <a:cs typeface="+mn-cs"/>
            </a:rPr>
            <a:t>Si vous souhaitez modifier le nombre de point octroyé au 01.01.2022, modifier la valeur de la variable A dans l'onglet "Données FOREm &amp; Simul. UNIPSO", </a:t>
          </a:r>
          <a:r>
            <a:rPr lang="fr-BE" sz="1100" u="sng">
              <a:effectLst/>
              <a:latin typeface="+mn-lt"/>
              <a:ea typeface="+mn-ea"/>
              <a:cs typeface="+mn-cs"/>
            </a:rPr>
            <a:t>cellule verte I9</a:t>
          </a:r>
          <a:r>
            <a:rPr lang="fr-BE" sz="1100">
              <a:effectLst/>
              <a:latin typeface="+mn-lt"/>
              <a:ea typeface="+mn-ea"/>
              <a:cs typeface="+mn-cs"/>
            </a:rPr>
            <a:t>.</a:t>
          </a:r>
        </a:p>
        <a:p>
          <a:pPr lvl="0"/>
          <a:r>
            <a:rPr lang="fr-BE" sz="1100">
              <a:effectLst/>
              <a:latin typeface="+mn-lt"/>
              <a:ea typeface="+mn-ea"/>
              <a:cs typeface="+mn-cs"/>
            </a:rPr>
            <a:t>Si vous souhaitez modifier le nombre d'ETP réalisés entre le 01.10.2020 et le 31.09.2021, modifier la valeur de la variable D dans l'onglet "Données FOREm &amp; Simul. UNIPSO", </a:t>
          </a:r>
          <a:r>
            <a:rPr lang="fr-BE" sz="1100" u="sng">
              <a:effectLst/>
              <a:latin typeface="+mn-lt"/>
              <a:ea typeface="+mn-ea"/>
              <a:cs typeface="+mn-cs"/>
            </a:rPr>
            <a:t>cellule verte K21</a:t>
          </a:r>
          <a:r>
            <a:rPr lang="fr-BE" sz="1100">
              <a:effectLst/>
              <a:latin typeface="+mn-lt"/>
              <a:ea typeface="+mn-ea"/>
              <a:cs typeface="+mn-cs"/>
            </a:rPr>
            <a:t>.</a:t>
          </a:r>
        </a:p>
        <a:p>
          <a:r>
            <a:rPr lang="fr-BE" sz="1100">
              <a:effectLst/>
              <a:latin typeface="+mn-lt"/>
              <a:ea typeface="+mn-ea"/>
              <a:cs typeface="+mn-cs"/>
            </a:rPr>
            <a:t>Les autres données sont reprises de l’onglet "Simulateur UNIPSO" ou des données du FOREm.</a:t>
          </a:r>
        </a:p>
        <a:p>
          <a:r>
            <a:rPr lang="fr-BE" sz="1100" b="1" u="none" strike="noStrike">
              <a:effectLst/>
              <a:latin typeface="+mn-lt"/>
              <a:ea typeface="+mn-ea"/>
              <a:cs typeface="+mn-cs"/>
            </a:rPr>
            <a:t> </a:t>
          </a:r>
          <a:endParaRPr lang="fr-BE" sz="1100">
            <a:effectLst/>
            <a:latin typeface="+mn-lt"/>
            <a:ea typeface="+mn-ea"/>
            <a:cs typeface="+mn-cs"/>
          </a:endParaRPr>
        </a:p>
        <a:p>
          <a:r>
            <a:rPr lang="fr-BE" sz="1100" b="1" u="sng">
              <a:effectLst/>
              <a:latin typeface="+mn-lt"/>
              <a:ea typeface="+mn-ea"/>
              <a:cs typeface="+mn-cs"/>
            </a:rPr>
            <a:t>Montant de l’écart en comparant avec la poursuite du dispositif APE actuel : ce calcul (automatique) vous donne le résultat de la comparaison entre la nouvelle formule FOREM et l’estimation du montant que vous auriez reçu sans la réforme. La différence provient des éléments suivants :</a:t>
          </a:r>
          <a:endParaRPr lang="fr-BE" sz="1100">
            <a:effectLst/>
            <a:latin typeface="+mn-lt"/>
            <a:ea typeface="+mn-ea"/>
            <a:cs typeface="+mn-cs"/>
          </a:endParaRPr>
        </a:p>
        <a:p>
          <a:pPr lvl="0"/>
          <a:r>
            <a:rPr lang="fr-BE" sz="1100">
              <a:effectLst/>
              <a:latin typeface="+mn-lt"/>
              <a:ea typeface="+mn-ea"/>
              <a:cs typeface="+mn-cs"/>
            </a:rPr>
            <a:t>La formule du FOREM se base sur l’occupation réelle des postes pendant les années de référence, via les variables C (taux de subventionnement moyen) et F (taux d’occupation moyen) tandis que le simulateur prend en considération une occupation pondérée basée sur C et F. </a:t>
          </a:r>
        </a:p>
        <a:p>
          <a:r>
            <a:rPr lang="fr-BE" sz="1100">
              <a:effectLst/>
              <a:latin typeface="+mn-lt"/>
              <a:ea typeface="+mn-ea"/>
              <a:cs typeface="+mn-cs"/>
            </a:rPr>
            <a:t>Pour rappel, en estimant l’occupation moyenne de votre effectif en 2022, vous pouvez la modifier et indiquer ce taux d'occupation dans l'onglet "Données FOREm &amp; Simul. UNIPSO", </a:t>
          </a:r>
          <a:r>
            <a:rPr lang="fr-BE" sz="1100" u="sng">
              <a:effectLst/>
              <a:latin typeface="+mn-lt"/>
              <a:ea typeface="+mn-ea"/>
              <a:cs typeface="+mn-cs"/>
            </a:rPr>
            <a:t>cellule verte K20</a:t>
          </a:r>
          <a:r>
            <a:rPr lang="fr-BE" sz="1100">
              <a:effectLst/>
              <a:latin typeface="+mn-lt"/>
              <a:ea typeface="+mn-ea"/>
              <a:cs typeface="+mn-cs"/>
            </a:rPr>
            <a:t>.</a:t>
          </a:r>
        </a:p>
        <a:p>
          <a:pPr lvl="0"/>
          <a:r>
            <a:rPr lang="fr-BE" sz="1100">
              <a:effectLst/>
              <a:latin typeface="+mn-lt"/>
              <a:ea typeface="+mn-ea"/>
              <a:cs typeface="+mn-cs"/>
            </a:rPr>
            <a:t>Le crédit d’ancienneté qui ne sera plus octroyé aux employeurs à partir de 2022 (dans le cas où vous avez complété cette donnée évidemment).</a:t>
          </a:r>
        </a:p>
        <a:p>
          <a:pPr lvl="0"/>
          <a:r>
            <a:rPr lang="fr-BE" sz="1100">
              <a:effectLst/>
              <a:latin typeface="+mn-lt"/>
              <a:ea typeface="+mn-ea"/>
              <a:cs typeface="+mn-cs"/>
            </a:rPr>
            <a:t>Le "coefficient d'indexation 2020-2021" de la partie "réduction de cotisations sociales" s'il dépasse le G fixé par le FOREM (5%) et qui tient compte d'une indexation des salaires (2%) et de l'évolution moyenne estimée des barèmes en fonction de la commission paritaire dans laquelle vous vous trouvez.</a:t>
          </a:r>
        </a:p>
        <a:p>
          <a:endParaRPr lang="fr-BE" sz="1100" b="1" u="sng" cap="small">
            <a:effectLst/>
            <a:latin typeface="+mn-lt"/>
            <a:ea typeface="+mn-ea"/>
            <a:cs typeface="+mn-cs"/>
          </a:endParaRPr>
        </a:p>
        <a:p>
          <a:r>
            <a:rPr lang="fr-BE" sz="1100" b="1" u="sng" cap="small">
              <a:effectLst/>
              <a:latin typeface="+mn-lt"/>
              <a:ea typeface="+mn-ea"/>
              <a:cs typeface="+mn-cs"/>
            </a:rPr>
            <a:t>Onglet « Simulateur UNIPSO »</a:t>
          </a:r>
        </a:p>
        <a:p>
          <a:r>
            <a:rPr lang="fr-BE" sz="1100">
              <a:effectLst/>
              <a:latin typeface="+mn-lt"/>
              <a:ea typeface="+mn-ea"/>
              <a:cs typeface="+mn-cs"/>
            </a:rPr>
            <a:t>Il s’agit du détail du calcul pour comparer la nouvelle subvention, avec celle qui aurait été (théoriquement) due en 2022 dans le système APE actuel. Il n'y a pas de données à remplir dans cet onglet.</a:t>
          </a:r>
        </a:p>
      </xdr:txBody>
    </xdr:sp>
    <xdr:clientData/>
  </xdr:oneCellAnchor>
  <xdr:twoCellAnchor editAs="oneCell">
    <xdr:from>
      <xdr:col>0</xdr:col>
      <xdr:colOff>0</xdr:colOff>
      <xdr:row>0</xdr:row>
      <xdr:rowOff>0</xdr:rowOff>
    </xdr:from>
    <xdr:to>
      <xdr:col>3</xdr:col>
      <xdr:colOff>52705</xdr:colOff>
      <xdr:row>2</xdr:row>
      <xdr:rowOff>41910</xdr:rowOff>
    </xdr:to>
    <xdr:pic>
      <xdr:nvPicPr>
        <xdr:cNvPr id="5" name="Image 4">
          <a:extLst>
            <a:ext uri="{FF2B5EF4-FFF2-40B4-BE49-F238E27FC236}">
              <a16:creationId xmlns:a16="http://schemas.microsoft.com/office/drawing/2014/main" id="{205C07D6-413E-4487-AA7D-42CCF14BCD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84655" cy="3594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thieu.depoorter\Desktop\APE\Evolutions%20bar&#233;mique%20par%20C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athieu%20de%20Poorter\APE\EvolutionBar&#233;mique_Bar&#232;me%20juillet%202017%20FEDO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athieu.depoorter\Desktop\APE\R&#233;forme%20APE%20simulations%20tableau%20de%20synth&#232;se%20MDP_V5_b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olutions barémique"/>
      <sheetName val="CP 318 - RW au 01.07.17"/>
      <sheetName val="SCP318.01 au 01-10-18"/>
      <sheetName val="CP329.02 RW 2017-07"/>
      <sheetName val="CP332 1 - 2 - 3 - 4"/>
      <sheetName val="CP332 5 - 6 - 7"/>
      <sheetName val="P.S.C. 305.2"/>
      <sheetName val="RW"/>
      <sheetName val="AAJ "/>
    </sheetNames>
    <sheetDataSet>
      <sheetData sheetId="0"/>
      <sheetData sheetId="1">
        <row r="37">
          <cell r="D37">
            <v>8.1411616259575437E-3</v>
          </cell>
        </row>
      </sheetData>
      <sheetData sheetId="2"/>
      <sheetData sheetId="3">
        <row r="40">
          <cell r="C40">
            <v>7.6158729983914954E-3</v>
          </cell>
        </row>
      </sheetData>
      <sheetData sheetId="4">
        <row r="38">
          <cell r="H38">
            <v>1.8430522669473714E-2</v>
          </cell>
        </row>
      </sheetData>
      <sheetData sheetId="5">
        <row r="36">
          <cell r="H36">
            <v>7.1052499562608241E-3</v>
          </cell>
        </row>
      </sheetData>
      <sheetData sheetId="6"/>
      <sheetData sheetId="7">
        <row r="39">
          <cell r="E39">
            <v>1.2736282153009124E-2</v>
          </cell>
        </row>
      </sheetData>
      <sheetData sheetId="8">
        <row r="39">
          <cell r="C39">
            <v>1.8309310935595329E-2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èmes CP 318 - RW au 01.07.17"/>
      <sheetName val="1 = 1.12"/>
      <sheetName val="2 = 1.22"/>
      <sheetName val="3 = 1.26"/>
      <sheetName val="4 = 1.35"/>
      <sheetName val="5 - 1.50"/>
      <sheetName val="6 - 1.55.61.77"/>
      <sheetName val="7 - 1.80"/>
      <sheetName val="paramètres"/>
    </sheetNames>
    <sheetDataSet>
      <sheetData sheetId="0"/>
      <sheetData sheetId="1">
        <row r="8">
          <cell r="B8">
            <v>10.385</v>
          </cell>
        </row>
      </sheetData>
      <sheetData sheetId="2">
        <row r="8">
          <cell r="B8">
            <v>11.1532</v>
          </cell>
        </row>
      </sheetData>
      <sheetData sheetId="3">
        <row r="8">
          <cell r="C8">
            <v>1873.53</v>
          </cell>
        </row>
      </sheetData>
      <sheetData sheetId="4">
        <row r="8">
          <cell r="B8">
            <v>12.1104</v>
          </cell>
        </row>
      </sheetData>
      <sheetData sheetId="5">
        <row r="8">
          <cell r="C8">
            <v>1933.6</v>
          </cell>
        </row>
      </sheetData>
      <sheetData sheetId="6">
        <row r="8">
          <cell r="C8">
            <v>2295.86</v>
          </cell>
        </row>
      </sheetData>
      <sheetData sheetId="7">
        <row r="8">
          <cell r="C8">
            <v>3091.88</v>
          </cell>
        </row>
      </sheetData>
      <sheetData sheetId="8">
        <row r="1">
          <cell r="B1">
            <v>42917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mulations C=pts réalisés"/>
      <sheetName val="Simulations sectorielles V3"/>
      <sheetName val="Divers ASBL Boutchoux (2)"/>
      <sheetName val="Divers ASBL Boutchoux"/>
      <sheetName val="Divers Home des (2)"/>
      <sheetName val="Divers Home des"/>
      <sheetName val="Divers Bercail (2)"/>
      <sheetName val="Divers Bercail"/>
      <sheetName val="Divers ASBL Arche (2)"/>
      <sheetName val="Divers ASBL Arche"/>
      <sheetName val="Divers ASBL Epée (2)"/>
      <sheetName val="Divers ASBL Epée"/>
      <sheetName val="Divers ASBL Services résid (2)"/>
      <sheetName val="Divers ASBL Services résid"/>
      <sheetName val="Divers Association chrétien (2)"/>
      <sheetName val="Divers Association chrétienne"/>
      <sheetName val="SC Collectif pour "/>
      <sheetName val="SC INTERMIRE (2)"/>
      <sheetName val="SC INTERMIRE"/>
      <sheetName val="SC Fédération des (2)"/>
      <sheetName val="SC Fédération des"/>
      <sheetName val="SC Association des (2)"/>
      <sheetName val="SC Association des"/>
      <sheetName val="SC Les grignoux (2)"/>
      <sheetName val="SC Les grignoux"/>
      <sheetName val="SC Centre national (2)"/>
      <sheetName val="SC Centre national"/>
      <sheetName val="SAFA Association des (2)"/>
      <sheetName val="SAFA Association des"/>
      <sheetName val="SAFA centre de servi (2)"/>
      <sheetName val="SAFA centre de servi"/>
      <sheetName val="NA Coordination et (2)"/>
      <sheetName val="NA Coordination et"/>
      <sheetName val="NA Actions régionale (2)"/>
      <sheetName val="NA Actions régionale"/>
      <sheetName val="NA Caméra etc (2)"/>
      <sheetName val="NA Caméra etc"/>
      <sheetName val="FIL Aide et préventi (2)"/>
      <sheetName val="FIL Aide et préventi"/>
      <sheetName val="FIL Association pour (2)"/>
      <sheetName val="FIL Association pour"/>
      <sheetName val="FIL Petit à petit (2)"/>
      <sheetName val="FIL Petit à petit"/>
      <sheetName val="FIL Une école pour (2)"/>
      <sheetName val="FIL Une école pour"/>
      <sheetName val="FIL Agence locale (2)"/>
      <sheetName val="FIL Agence locale"/>
      <sheetName val="FASS Centre des immi (2)"/>
      <sheetName val="FASS Centre des immi"/>
      <sheetName val="FASS Cap Migrants (2)"/>
      <sheetName val="FASS Cap Migrants"/>
      <sheetName val="FASS Le Bosquet (2)"/>
      <sheetName val="FASS Le Bosquet"/>
      <sheetName val="ETA EWETA (2)"/>
      <sheetName val="ETA EWETA"/>
      <sheetName val="ETA AEDES (2)"/>
      <sheetName val="ETA AEDES"/>
      <sheetName val="ETA Jean Del'cour (2)"/>
      <sheetName val="ETA Jean Del'cour"/>
      <sheetName val="CSD (2)"/>
      <sheetName val="CSD"/>
      <sheetName val="AAJ (2)"/>
      <sheetName val="AAJ"/>
      <sheetName val="Sim. UNIPSO vs. Forem"/>
      <sheetName val="Sim. Choisir asbl vs. Forem"/>
      <sheetName val="Sim. Aide et reclass. vs. Forem"/>
      <sheetName val="Sim. Réforme APE_Formule idéale"/>
      <sheetName val="AS Espace 28 (2)"/>
      <sheetName val="AS Espace 28"/>
      <sheetName val="AS Espace P (2)"/>
      <sheetName val="AS Espace P"/>
      <sheetName val="Indexation"/>
      <sheetName val="Variables M"/>
      <sheetName val="Mode d'emploi J"/>
      <sheetName val="Evolutions barémiqu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6">
          <cell r="B6">
            <v>1.0189999999999999</v>
          </cell>
        </row>
        <row r="10">
          <cell r="B10">
            <v>3066.98</v>
          </cell>
        </row>
        <row r="11">
          <cell r="B11">
            <v>3093.7</v>
          </cell>
        </row>
        <row r="12">
          <cell r="B12">
            <v>3114.85</v>
          </cell>
        </row>
        <row r="15">
          <cell r="B15">
            <v>3184.943147598739</v>
          </cell>
        </row>
        <row r="43">
          <cell r="B43">
            <v>1.0404</v>
          </cell>
        </row>
      </sheetData>
      <sheetData sheetId="73"/>
      <sheetData sheetId="74"/>
    </sheetDataSet>
  </externalBook>
</externalLink>
</file>

<file path=xl/theme/theme1.xml><?xml version="1.0" encoding="utf-8"?>
<a:theme xmlns:a="http://schemas.openxmlformats.org/drawingml/2006/main" name="Cessoc 4">
  <a:themeElements>
    <a:clrScheme name="CESSoC">
      <a:dk1>
        <a:sysClr val="windowText" lastClr="000000"/>
      </a:dk1>
      <a:lt1>
        <a:sysClr val="window" lastClr="FFFFFF"/>
      </a:lt1>
      <a:dk2>
        <a:srgbClr val="000000"/>
      </a:dk2>
      <a:lt2>
        <a:srgbClr val="FFFFFF"/>
      </a:lt2>
      <a:accent1>
        <a:srgbClr val="00383D"/>
      </a:accent1>
      <a:accent2>
        <a:srgbClr val="CC006A"/>
      </a:accent2>
      <a:accent3>
        <a:srgbClr val="73B632"/>
      </a:accent3>
      <a:accent4>
        <a:srgbClr val="E47823"/>
      </a:accent4>
      <a:accent5>
        <a:srgbClr val="00A5D8"/>
      </a:accent5>
      <a:accent6>
        <a:srgbClr val="F79646"/>
      </a:accent6>
      <a:hlink>
        <a:srgbClr val="0000FF"/>
      </a:hlink>
      <a:folHlink>
        <a:srgbClr val="800080"/>
      </a:folHlink>
    </a:clrScheme>
    <a:fontScheme name="Pop urbain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vert="horz" wrap="none" lIns="91440" tIns="45720" rIns="91440" bIns="45720" rtlCol="0" anchor="ctr">
        <a:normAutofit/>
      </a:bodyPr>
      <a:lstStyle>
        <a:defPPr>
          <a:defRPr sz="1100" b="1" dirty="0"/>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09AFD-428E-4386-8ED7-62FF3C6772B7}">
  <dimension ref="A1"/>
  <sheetViews>
    <sheetView showGridLines="0" tabSelected="1" topLeftCell="A18" zoomScaleNormal="100" workbookViewId="0">
      <selection activeCell="A25" sqref="A25"/>
    </sheetView>
  </sheetViews>
  <sheetFormatPr baseColWidth="10" defaultRowHeight="12.5"/>
  <cols>
    <col min="1" max="1" width="1.54296875" customWidth="1"/>
  </cols>
  <sheetData/>
  <sheetProtection algorithmName="SHA-512" hashValue="znQ/l/8OKCvRgjpbxt5xhX9E58oOdzLDkOGdX4zXuZBaIGPSy3y+sB5ZF/yqJhX31dFnRRwAChgA+fQZxKzW9Q==" saltValue="1KWu6I9rGJ576vuvtWygf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48117-6675-47CE-938B-6E702592F241}">
  <dimension ref="B1:L27"/>
  <sheetViews>
    <sheetView zoomScale="115" zoomScaleNormal="115" workbookViewId="0">
      <selection activeCell="B3" sqref="B3:F3"/>
    </sheetView>
  </sheetViews>
  <sheetFormatPr baseColWidth="10" defaultRowHeight="12.5"/>
  <cols>
    <col min="1" max="1" width="4.90625" customWidth="1"/>
    <col min="2" max="2" width="20.81640625" customWidth="1"/>
    <col min="3" max="4" width="15.81640625" customWidth="1"/>
    <col min="5" max="5" width="18.54296875" customWidth="1"/>
    <col min="6" max="6" width="20.1796875" customWidth="1"/>
    <col min="7" max="7" width="15.90625" customWidth="1"/>
    <col min="8" max="8" width="11.453125" customWidth="1"/>
    <col min="9" max="9" width="20.453125" customWidth="1"/>
    <col min="10" max="10" width="27.08984375" customWidth="1"/>
    <col min="11" max="11" width="31.90625" customWidth="1"/>
    <col min="12" max="12" width="12.6328125" customWidth="1"/>
  </cols>
  <sheetData>
    <row r="1" spans="2:12" ht="38" thickBot="1">
      <c r="B1" t="s">
        <v>179</v>
      </c>
      <c r="C1" s="260"/>
      <c r="D1" t="s">
        <v>180</v>
      </c>
      <c r="E1" s="260"/>
      <c r="F1" t="s">
        <v>181</v>
      </c>
      <c r="G1" s="260"/>
    </row>
    <row r="2" spans="2:12" ht="23.4" customHeight="1" thickTop="1">
      <c r="B2" s="222" t="s">
        <v>141</v>
      </c>
      <c r="C2" s="223"/>
      <c r="D2" s="223"/>
      <c r="E2" s="223"/>
      <c r="F2" s="224"/>
      <c r="H2" s="229" t="s">
        <v>142</v>
      </c>
      <c r="I2" s="230"/>
      <c r="J2" s="230"/>
      <c r="K2" s="230"/>
      <c r="L2" s="231"/>
    </row>
    <row r="3" spans="2:12" ht="30" customHeight="1">
      <c r="B3" s="219" t="s">
        <v>182</v>
      </c>
      <c r="C3" s="220"/>
      <c r="D3" s="220"/>
      <c r="E3" s="220"/>
      <c r="F3" s="221"/>
      <c r="H3" s="225" t="s">
        <v>150</v>
      </c>
      <c r="I3" s="226"/>
      <c r="J3" s="226"/>
      <c r="K3" s="226"/>
      <c r="L3" s="148"/>
    </row>
    <row r="4" spans="2:12" ht="24.65" customHeight="1">
      <c r="B4" s="137" t="s">
        <v>139</v>
      </c>
      <c r="C4" s="115"/>
      <c r="D4" s="115"/>
      <c r="E4" s="115"/>
      <c r="F4" s="136"/>
      <c r="H4" s="227" t="s">
        <v>151</v>
      </c>
      <c r="I4" s="228"/>
      <c r="J4" s="228"/>
      <c r="K4" s="169" t="s">
        <v>79</v>
      </c>
      <c r="L4" s="148"/>
    </row>
    <row r="5" spans="2:12" ht="13.25" customHeight="1">
      <c r="B5" s="138" t="s">
        <v>4</v>
      </c>
      <c r="C5" s="132" t="s">
        <v>162</v>
      </c>
      <c r="D5" s="115"/>
      <c r="E5" s="217" t="s">
        <v>161</v>
      </c>
      <c r="F5" s="218"/>
      <c r="H5" s="213" t="s">
        <v>163</v>
      </c>
      <c r="I5" s="214"/>
      <c r="J5" s="214"/>
      <c r="K5" s="205">
        <v>0</v>
      </c>
      <c r="L5" s="155"/>
    </row>
    <row r="6" spans="2:12" ht="13">
      <c r="B6" s="139" t="s">
        <v>133</v>
      </c>
      <c r="C6" s="161">
        <v>46</v>
      </c>
      <c r="D6" s="115"/>
      <c r="E6" s="133" t="s">
        <v>158</v>
      </c>
      <c r="F6" s="140">
        <f>C6*C7*C8</f>
        <v>135855.04944</v>
      </c>
      <c r="H6" s="160"/>
      <c r="I6" s="157"/>
      <c r="J6" s="157"/>
      <c r="K6" s="25"/>
      <c r="L6" s="156"/>
    </row>
    <row r="7" spans="2:12" ht="13">
      <c r="B7" s="139" t="s">
        <v>134</v>
      </c>
      <c r="C7" s="126">
        <v>3204.96</v>
      </c>
      <c r="D7" s="115"/>
      <c r="E7" s="133" t="s">
        <v>159</v>
      </c>
      <c r="F7" s="140">
        <f>C9*C10*C11*(1+C12)</f>
        <v>96703.517055599979</v>
      </c>
      <c r="H7" s="237" t="s">
        <v>152</v>
      </c>
      <c r="I7" s="238"/>
      <c r="J7" s="238"/>
      <c r="K7" s="238"/>
      <c r="L7" s="149">
        <f>'Simulateur UNIPSO'!B19</f>
        <v>232544.84637740802</v>
      </c>
    </row>
    <row r="8" spans="2:12" ht="13">
      <c r="B8" s="139" t="s">
        <v>135</v>
      </c>
      <c r="C8" s="162">
        <v>0.92149999999999999</v>
      </c>
      <c r="D8" s="115"/>
      <c r="E8" s="133" t="s">
        <v>160</v>
      </c>
      <c r="F8" s="141">
        <f>F6+F7</f>
        <v>232558.56649559998</v>
      </c>
      <c r="H8" s="147"/>
      <c r="I8" s="115"/>
      <c r="J8" s="115"/>
      <c r="K8" s="115"/>
      <c r="L8" s="166"/>
    </row>
    <row r="9" spans="2:12" ht="13">
      <c r="B9" s="139" t="s">
        <v>136</v>
      </c>
      <c r="C9" s="161">
        <v>8.1199999999999992</v>
      </c>
      <c r="D9" s="115"/>
      <c r="E9" s="115"/>
      <c r="F9" s="136"/>
      <c r="H9" s="150" t="s">
        <v>145</v>
      </c>
      <c r="I9" s="132" t="s">
        <v>148</v>
      </c>
      <c r="J9" s="132" t="s">
        <v>146</v>
      </c>
      <c r="K9" s="115"/>
      <c r="L9" s="167"/>
    </row>
    <row r="10" spans="2:12" ht="13.25" customHeight="1">
      <c r="B10" s="139" t="s">
        <v>137</v>
      </c>
      <c r="C10" s="163">
        <v>11692.98</v>
      </c>
      <c r="D10" s="115"/>
      <c r="E10" s="115"/>
      <c r="F10" s="136"/>
      <c r="H10" s="151" t="s">
        <v>133</v>
      </c>
      <c r="I10" s="257">
        <f>C6</f>
        <v>46</v>
      </c>
      <c r="J10" s="131" t="s">
        <v>147</v>
      </c>
      <c r="K10" s="115"/>
      <c r="L10" s="166"/>
    </row>
    <row r="11" spans="2:12">
      <c r="B11" s="139" t="s">
        <v>138</v>
      </c>
      <c r="C11" s="262">
        <v>0.97</v>
      </c>
      <c r="D11" s="115"/>
      <c r="E11" s="115"/>
      <c r="F11" s="136"/>
      <c r="H11" s="151" t="s">
        <v>134</v>
      </c>
      <c r="I11" s="158">
        <f>C7</f>
        <v>3204.96</v>
      </c>
      <c r="J11" s="131" t="s">
        <v>169</v>
      </c>
      <c r="K11" s="115"/>
      <c r="L11" s="166"/>
    </row>
    <row r="12" spans="2:12" ht="13">
      <c r="B12" s="139" t="s">
        <v>143</v>
      </c>
      <c r="C12" s="164">
        <v>0.05</v>
      </c>
      <c r="D12" s="115"/>
      <c r="E12" s="115"/>
      <c r="F12" s="136"/>
      <c r="H12" s="151" t="s">
        <v>135</v>
      </c>
      <c r="I12" s="118">
        <f>'Simulateur UNIPSO'!B31</f>
        <v>0.9214634459311708</v>
      </c>
      <c r="J12" s="131" t="s">
        <v>149</v>
      </c>
      <c r="K12" s="206" t="s">
        <v>164</v>
      </c>
      <c r="L12" s="165">
        <f>'Données FOREm &amp; Simul. UNIPSO'!I10*'Données FOREm &amp; Simul. UNIPSO'!I11*'Données FOREm &amp; Simul. UNIPSO'!I12</f>
        <v>135849.66034089201</v>
      </c>
    </row>
    <row r="13" spans="2:12" ht="13">
      <c r="B13" s="135"/>
      <c r="C13" s="115"/>
      <c r="D13" s="115"/>
      <c r="E13" s="115"/>
      <c r="F13" s="136"/>
      <c r="H13" s="151" t="s">
        <v>136</v>
      </c>
      <c r="I13" s="209">
        <f>C9</f>
        <v>8.1199999999999992</v>
      </c>
      <c r="J13" s="131" t="s">
        <v>147</v>
      </c>
      <c r="K13" s="207"/>
      <c r="L13" s="168"/>
    </row>
    <row r="14" spans="2:12" ht="13">
      <c r="B14" s="137" t="s">
        <v>140</v>
      </c>
      <c r="C14" s="115"/>
      <c r="D14" s="115"/>
      <c r="E14" s="115"/>
      <c r="F14" s="136"/>
      <c r="H14" s="151" t="s">
        <v>137</v>
      </c>
      <c r="I14" s="117">
        <f>'Simulateur UNIPSO'!B37</f>
        <v>11692.436464088398</v>
      </c>
      <c r="J14" s="131" t="s">
        <v>149</v>
      </c>
      <c r="K14" s="207"/>
      <c r="L14" s="168"/>
    </row>
    <row r="15" spans="2:12" ht="13">
      <c r="B15" s="135"/>
      <c r="C15" s="232" t="s">
        <v>125</v>
      </c>
      <c r="D15" s="233"/>
      <c r="E15" s="234"/>
      <c r="F15" s="136"/>
      <c r="G15" s="115"/>
      <c r="H15" s="151" t="s">
        <v>138</v>
      </c>
      <c r="I15" s="118">
        <f>'Simulateur UNIPSO'!B40</f>
        <v>0.96996152203281139</v>
      </c>
      <c r="J15" s="131" t="s">
        <v>149</v>
      </c>
      <c r="K15" s="115"/>
      <c r="L15" s="166"/>
    </row>
    <row r="16" spans="2:12" ht="13.25" customHeight="1">
      <c r="B16" s="142" t="s">
        <v>124</v>
      </c>
      <c r="C16" s="133">
        <v>2017</v>
      </c>
      <c r="D16" s="133">
        <v>2018</v>
      </c>
      <c r="E16" s="133">
        <v>2019</v>
      </c>
      <c r="F16" s="136"/>
      <c r="H16" s="151" t="s">
        <v>143</v>
      </c>
      <c r="I16" s="159">
        <f>C12</f>
        <v>0.05</v>
      </c>
      <c r="J16" s="131" t="s">
        <v>147</v>
      </c>
      <c r="K16" s="206" t="s">
        <v>165</v>
      </c>
      <c r="L16" s="165">
        <f>I13*I14*I15*'Simulateur UNIPSO'!B43</f>
        <v>96695.186036516025</v>
      </c>
    </row>
    <row r="17" spans="2:12" ht="13.25" customHeight="1">
      <c r="B17" s="235" t="s">
        <v>126</v>
      </c>
      <c r="C17" s="236"/>
      <c r="D17" s="236"/>
      <c r="E17" s="236"/>
      <c r="F17" s="136"/>
      <c r="H17" s="147"/>
      <c r="I17" s="115"/>
      <c r="J17" s="115"/>
      <c r="K17" s="115"/>
      <c r="L17" s="166"/>
    </row>
    <row r="18" spans="2:12" ht="13.25" customHeight="1">
      <c r="B18" s="143" t="s">
        <v>127</v>
      </c>
      <c r="C18" s="128">
        <v>126618.14</v>
      </c>
      <c r="D18" s="128">
        <v>129341.16</v>
      </c>
      <c r="E18" s="128">
        <v>137270.6</v>
      </c>
      <c r="F18" s="136"/>
      <c r="H18" s="241" t="s">
        <v>123</v>
      </c>
      <c r="I18" s="242"/>
      <c r="J18" s="242"/>
      <c r="K18" s="242"/>
      <c r="L18" s="208">
        <f>'Simulateur UNIPSO'!B20</f>
        <v>-868.31362334557343</v>
      </c>
    </row>
    <row r="19" spans="2:12" ht="13.25" customHeight="1">
      <c r="B19" s="143" t="s">
        <v>29</v>
      </c>
      <c r="C19" s="129">
        <v>46</v>
      </c>
      <c r="D19" s="129">
        <v>46</v>
      </c>
      <c r="E19" s="129">
        <v>46</v>
      </c>
      <c r="F19" s="136"/>
      <c r="H19" s="239" t="s">
        <v>74</v>
      </c>
      <c r="I19" s="240"/>
      <c r="J19" s="240"/>
      <c r="K19" s="240"/>
      <c r="L19" s="212">
        <f>'Simulateur UNIPSO'!B21</f>
        <v>-3.720071410467045E-3</v>
      </c>
    </row>
    <row r="20" spans="2:12" ht="13.25" customHeight="1">
      <c r="B20" s="143" t="s">
        <v>128</v>
      </c>
      <c r="C20" s="129">
        <v>43.43</v>
      </c>
      <c r="D20" s="129">
        <v>43.12</v>
      </c>
      <c r="E20" s="129">
        <v>44.55</v>
      </c>
      <c r="F20" s="136"/>
      <c r="H20" s="147"/>
      <c r="I20" s="115"/>
      <c r="J20" s="115"/>
      <c r="K20" s="115"/>
      <c r="L20" s="148"/>
    </row>
    <row r="21" spans="2:12" ht="13.25" customHeight="1">
      <c r="B21" s="143" t="s">
        <v>129</v>
      </c>
      <c r="C21" s="129">
        <v>41.28</v>
      </c>
      <c r="D21" s="129">
        <v>41.28</v>
      </c>
      <c r="E21" s="129">
        <v>44.07</v>
      </c>
      <c r="F21" s="136"/>
      <c r="H21" s="215" t="s">
        <v>177</v>
      </c>
      <c r="I21" s="216"/>
      <c r="J21" s="216"/>
      <c r="K21" s="210">
        <f>'Simulateur UNIPSO'!B2</f>
        <v>0.94166748145583923</v>
      </c>
      <c r="L21" s="148"/>
    </row>
    <row r="22" spans="2:12" ht="13">
      <c r="B22" s="235" t="s">
        <v>130</v>
      </c>
      <c r="C22" s="236"/>
      <c r="D22" s="236"/>
      <c r="E22" s="236"/>
      <c r="F22" s="136"/>
      <c r="H22" s="215" t="s">
        <v>178</v>
      </c>
      <c r="I22" s="216"/>
      <c r="J22" s="216"/>
      <c r="K22" s="211">
        <f>C9</f>
        <v>8.1199999999999992</v>
      </c>
      <c r="L22" s="148"/>
    </row>
    <row r="23" spans="2:12" ht="13.25" customHeight="1" thickBot="1">
      <c r="B23" s="143" t="s">
        <v>131</v>
      </c>
      <c r="C23" s="128">
        <v>87878.71</v>
      </c>
      <c r="D23" s="128">
        <v>89542.31</v>
      </c>
      <c r="E23" s="128">
        <v>97702.01</v>
      </c>
      <c r="F23" s="136"/>
      <c r="H23" s="152"/>
      <c r="I23" s="153"/>
      <c r="J23" s="153"/>
      <c r="K23" s="153"/>
      <c r="L23" s="154"/>
    </row>
    <row r="24" spans="2:12" ht="13.25" customHeight="1" thickTop="1">
      <c r="B24" s="143" t="s">
        <v>87</v>
      </c>
      <c r="C24" s="129">
        <v>7.99</v>
      </c>
      <c r="D24" s="129">
        <v>8.11</v>
      </c>
      <c r="E24" s="129">
        <v>8.26</v>
      </c>
      <c r="F24" s="136"/>
    </row>
    <row r="25" spans="2:12" ht="13.25" customHeight="1">
      <c r="B25" s="143" t="s">
        <v>132</v>
      </c>
      <c r="C25" s="129">
        <v>7.56</v>
      </c>
      <c r="D25" s="129">
        <v>7.86</v>
      </c>
      <c r="E25" s="129">
        <v>8.11</v>
      </c>
      <c r="F25" s="136"/>
    </row>
    <row r="26" spans="2:12" ht="13.25" customHeight="1" thickBot="1">
      <c r="B26" s="144"/>
      <c r="C26" s="145"/>
      <c r="D26" s="145"/>
      <c r="E26" s="145"/>
      <c r="F26" s="146"/>
    </row>
    <row r="27" spans="2:12" ht="13" thickTop="1"/>
  </sheetData>
  <mergeCells count="15">
    <mergeCell ref="H5:J5"/>
    <mergeCell ref="H22:J22"/>
    <mergeCell ref="E5:F5"/>
    <mergeCell ref="B3:F3"/>
    <mergeCell ref="B2:F2"/>
    <mergeCell ref="H3:K3"/>
    <mergeCell ref="H4:J4"/>
    <mergeCell ref="H2:L2"/>
    <mergeCell ref="H21:J21"/>
    <mergeCell ref="C15:E15"/>
    <mergeCell ref="B17:E17"/>
    <mergeCell ref="B22:E22"/>
    <mergeCell ref="H7:K7"/>
    <mergeCell ref="H19:K19"/>
    <mergeCell ref="H18:K18"/>
  </mergeCells>
  <phoneticPr fontId="3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2D28B4A-78EA-45AB-B220-EE4B6227975D}">
          <x14:formula1>
            <xm:f>'Evolutions barémique'!$F$5:$F$10</xm:f>
          </x14:formula1>
          <xm:sqref>K4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7A5D6-C0D0-4577-AABB-568E04F6DF4F}">
  <dimension ref="A1:Q111"/>
  <sheetViews>
    <sheetView topLeftCell="A65" zoomScaleNormal="100" workbookViewId="0">
      <selection activeCell="D69" sqref="D69"/>
    </sheetView>
  </sheetViews>
  <sheetFormatPr baseColWidth="10" defaultColWidth="10.6328125" defaultRowHeight="12.5"/>
  <cols>
    <col min="1" max="1" width="66.453125" style="2" customWidth="1"/>
    <col min="2" max="2" width="19.90625" style="2" customWidth="1"/>
    <col min="3" max="3" width="7.54296875" style="2" customWidth="1"/>
    <col min="4" max="4" width="34" style="2" bestFit="1" customWidth="1"/>
    <col min="5" max="5" width="18.453125" style="2" customWidth="1"/>
    <col min="6" max="6" width="7.36328125" style="2" customWidth="1"/>
    <col min="7" max="7" width="31.453125" style="2" customWidth="1"/>
    <col min="8" max="8" width="11.453125" style="2" customWidth="1"/>
    <col min="9" max="9" width="15" style="2" customWidth="1"/>
    <col min="10" max="10" width="9.36328125" style="2" customWidth="1"/>
    <col min="11" max="11" width="11.54296875" style="2" customWidth="1"/>
    <col min="12" max="12" width="12" style="2" customWidth="1"/>
    <col min="13" max="18" width="10.6328125" style="2"/>
    <col min="19" max="19" width="13.08984375" style="2" customWidth="1"/>
    <col min="20" max="16384" width="10.6328125" style="2"/>
  </cols>
  <sheetData>
    <row r="1" spans="1:13" s="76" customFormat="1" ht="18">
      <c r="A1" s="204"/>
      <c r="B1" s="204"/>
    </row>
    <row r="2" spans="1:13" ht="13">
      <c r="A2" s="170" t="s">
        <v>170</v>
      </c>
      <c r="B2" s="261">
        <f>'Données FOREm &amp; Simul. UNIPSO'!C8*'Données FOREm &amp; Simul. UNIPSO'!F6/'Données FOREm &amp; Simul. UNIPSO'!F8+'Données FOREm &amp; Simul. UNIPSO'!C11*'Données FOREm &amp; Simul. UNIPSO'!F7/'Données FOREm &amp; Simul. UNIPSO'!F8</f>
        <v>0.94166748145583923</v>
      </c>
      <c r="E2" s="87"/>
    </row>
    <row r="4" spans="1:13" ht="15.5">
      <c r="A4" s="245" t="s">
        <v>172</v>
      </c>
      <c r="B4" s="245"/>
    </row>
    <row r="5" spans="1:13" ht="15.5">
      <c r="A5" s="70" t="s">
        <v>65</v>
      </c>
      <c r="B5" s="4"/>
    </row>
    <row r="6" spans="1:13" ht="15.5">
      <c r="A6" s="38" t="s">
        <v>62</v>
      </c>
      <c r="B6" s="61"/>
    </row>
    <row r="7" spans="1:13" ht="13">
      <c r="A7" s="177" t="s">
        <v>133</v>
      </c>
      <c r="B7" s="3" t="s">
        <v>171</v>
      </c>
      <c r="C7" s="60"/>
      <c r="D7" s="3"/>
    </row>
    <row r="8" spans="1:13" ht="13">
      <c r="A8" s="69" t="s">
        <v>134</v>
      </c>
      <c r="B8" s="51" t="s">
        <v>154</v>
      </c>
      <c r="C8" s="60"/>
      <c r="D8" s="3"/>
    </row>
    <row r="9" spans="1:13" ht="13">
      <c r="A9" s="69" t="s">
        <v>135</v>
      </c>
      <c r="B9" s="51" t="str">
        <f>"Taux de subventionnement mensuel moyen 2017-2019 ; sauf si c &lt; "&amp;TxSubSPS&amp;", alors calcul de c sur les deux meilleures années (plafonné à "&amp;100*TxSubSPS&amp;" %)"</f>
        <v>Taux de subventionnement mensuel moyen 2017-2019 ; sauf si c &lt; 0,92, alors calcul de c sur les deux meilleures années (plafonné à 92 %)</v>
      </c>
      <c r="C9" s="60"/>
      <c r="D9" s="3"/>
      <c r="E9" s="83"/>
      <c r="F9" s="76"/>
      <c r="G9" s="76"/>
      <c r="H9" s="76"/>
      <c r="I9" s="76"/>
      <c r="J9" s="76"/>
      <c r="K9" s="76"/>
      <c r="L9" s="76"/>
      <c r="M9" s="76"/>
    </row>
    <row r="10" spans="1:13" ht="15.5">
      <c r="A10" s="38" t="s">
        <v>63</v>
      </c>
      <c r="B10" s="61"/>
      <c r="C10" s="60"/>
    </row>
    <row r="11" spans="1:13" ht="13">
      <c r="A11" s="69" t="s">
        <v>136</v>
      </c>
      <c r="B11" s="3" t="s">
        <v>173</v>
      </c>
      <c r="C11" s="60"/>
      <c r="D11" s="3"/>
    </row>
    <row r="12" spans="1:13" ht="13">
      <c r="A12" s="69" t="s">
        <v>137</v>
      </c>
      <c r="B12" s="3" t="s">
        <v>76</v>
      </c>
      <c r="C12" s="60"/>
      <c r="D12" s="3"/>
      <c r="E12" s="76"/>
    </row>
    <row r="13" spans="1:13" ht="13">
      <c r="A13" s="69" t="s">
        <v>138</v>
      </c>
      <c r="B13" s="3" t="str">
        <f>"Taux d’occupation moyen des ETP réalisés par l’employeur entre le 1.1.2017 et le 31.12.2019 ; sauf si ce taux &lt; "&amp;TxSubSPS&amp;", alors calcul de f sur les deux meilleures années (plafonné à "&amp;100*TxSubSPS&amp;"%)"</f>
        <v>Taux d’occupation moyen des ETP réalisés par l’employeur entre le 1.1.2017 et le 31.12.2019 ; sauf si ce taux &lt; 0,92, alors calcul de f sur les deux meilleures années (plafonné à 92%)</v>
      </c>
      <c r="C13" s="60"/>
      <c r="D13" s="3"/>
      <c r="E13" s="76"/>
    </row>
    <row r="14" spans="1:13" ht="13">
      <c r="A14" s="69" t="s">
        <v>143</v>
      </c>
      <c r="B14" s="51" t="s">
        <v>174</v>
      </c>
      <c r="C14" s="60"/>
      <c r="D14" s="3"/>
    </row>
    <row r="16" spans="1:13" ht="15.5">
      <c r="A16" s="171" t="s">
        <v>71</v>
      </c>
      <c r="B16" s="172" t="s">
        <v>70</v>
      </c>
    </row>
    <row r="18" spans="1:11" ht="15.5">
      <c r="A18" s="38" t="s">
        <v>0</v>
      </c>
    </row>
    <row r="19" spans="1:11" ht="15.5">
      <c r="A19" s="61" t="s">
        <v>175</v>
      </c>
      <c r="B19" s="174">
        <f>(B25*B28*B31)+(B34*B37*B40*B43)</f>
        <v>232544.84637740802</v>
      </c>
      <c r="D19" s="33"/>
      <c r="G19" s="77"/>
    </row>
    <row r="20" spans="1:11" ht="15.5">
      <c r="A20" s="173" t="s">
        <v>73</v>
      </c>
      <c r="B20" s="175">
        <f>B79</f>
        <v>-868.31362334557343</v>
      </c>
      <c r="D20" s="33"/>
    </row>
    <row r="21" spans="1:11" ht="15.5">
      <c r="A21" s="173" t="s">
        <v>74</v>
      </c>
      <c r="B21" s="176">
        <f>B80</f>
        <v>-3.720071410467045E-3</v>
      </c>
      <c r="D21" s="33"/>
    </row>
    <row r="22" spans="1:11" ht="12.65" customHeight="1">
      <c r="A22" s="35"/>
      <c r="D22" s="35"/>
    </row>
    <row r="23" spans="1:11" ht="15.5">
      <c r="A23" s="38" t="s">
        <v>9</v>
      </c>
      <c r="C23" s="42"/>
    </row>
    <row r="24" spans="1:11" ht="13">
      <c r="A24" s="180" t="s">
        <v>64</v>
      </c>
      <c r="B24" s="42"/>
    </row>
    <row r="25" spans="1:11" ht="13">
      <c r="A25" s="7" t="s">
        <v>133</v>
      </c>
      <c r="B25" s="258">
        <f>'Données FOREm &amp; Simul. UNIPSO'!I10</f>
        <v>46</v>
      </c>
    </row>
    <row r="27" spans="1:11" ht="13">
      <c r="A27" s="179" t="str">
        <f>B8</f>
        <v>Valeur du point 2022 théorique et estimée par le FOREM</v>
      </c>
      <c r="B27" s="42"/>
    </row>
    <row r="28" spans="1:11" ht="13">
      <c r="A28" s="7" t="s">
        <v>134</v>
      </c>
      <c r="B28" s="178">
        <f>'Données FOREm &amp; Simul. UNIPSO'!I11</f>
        <v>3204.96</v>
      </c>
    </row>
    <row r="30" spans="1:11" ht="13">
      <c r="A30" s="179" t="str">
        <f>B9</f>
        <v>Taux de subventionnement mensuel moyen 2017-2019 ; sauf si c &lt; 0,92, alors calcul de c sur les deux meilleures années (plafonné à 92 %)</v>
      </c>
      <c r="B30" s="42"/>
    </row>
    <row r="31" spans="1:11" ht="13">
      <c r="A31" s="7" t="s">
        <v>135</v>
      </c>
      <c r="B31" s="64">
        <f>IF(B45/(H59/COUNTA(H59)+H60/COUNTA(H60)+H61/COUNTA(H61))&lt;TxSubSPS,MIN(TxSubSPS,MAX((B46+B47)/(SUM(H59,H60)/COUNTA(H59,H60)),(B47+B48)/(SUM(H60,H61)/COUNTA(H60,H61)),(B46+B48)/(SUM(H59,H61)/COUNTA(H59,H61)))),B45/(H59/COUNTA(H59)+H60/COUNTA(H60)+H61/COUNTA(H61)))</f>
        <v>0.9214634459311708</v>
      </c>
    </row>
    <row r="32" spans="1:11" ht="13">
      <c r="A32" s="41"/>
      <c r="B32" s="42"/>
      <c r="D32" s="76"/>
      <c r="E32" s="76"/>
      <c r="F32" s="76"/>
      <c r="G32" s="76"/>
      <c r="H32" s="76"/>
      <c r="I32" s="76"/>
      <c r="J32" s="76"/>
      <c r="K32" s="76"/>
    </row>
    <row r="33" spans="1:17" ht="13">
      <c r="A33" s="179" t="str">
        <f>B11</f>
        <v xml:space="preserve">ETP réalisés entre 1.10.2020 et 30.09.2021 (ici entre 01.10.2019 et 30.09.2020 ; si ces ETP réalisés &lt; moyenne ETP réalisées 2017-2018-2019, alors d = moyenne ETP réalisées 2017-2019 </v>
      </c>
      <c r="B33" s="42"/>
      <c r="D33" s="76"/>
      <c r="E33" s="76"/>
      <c r="F33" s="76"/>
      <c r="G33" s="76"/>
      <c r="H33" s="76"/>
      <c r="I33" s="76"/>
      <c r="J33" s="76"/>
      <c r="K33" s="76"/>
    </row>
    <row r="34" spans="1:17" ht="13">
      <c r="A34" s="7" t="s">
        <v>136</v>
      </c>
      <c r="B34" s="134">
        <f>IF(H51&lt;AVERAGE(E46:E48),AVERAGE(E46:E48),H51)</f>
        <v>8.1199999999999992</v>
      </c>
      <c r="G34" s="76"/>
      <c r="H34" s="76"/>
      <c r="I34" s="76"/>
      <c r="J34" s="76"/>
      <c r="K34" s="76"/>
    </row>
    <row r="35" spans="1:17">
      <c r="B35" s="35"/>
      <c r="D35" s="76"/>
      <c r="E35" s="76"/>
      <c r="F35" s="76"/>
      <c r="G35" s="76"/>
      <c r="H35" s="76"/>
      <c r="I35" s="76"/>
      <c r="J35" s="76"/>
      <c r="K35" s="76"/>
    </row>
    <row r="36" spans="1:17" ht="13">
      <c r="A36" s="41" t="str">
        <f>B12</f>
        <v xml:space="preserve">Montant annuel moyen de RCSS par ETP subventionné 2017-2019 </v>
      </c>
      <c r="B36" s="42"/>
      <c r="D36" s="76"/>
      <c r="E36" s="76"/>
      <c r="F36" s="76"/>
      <c r="G36" s="76"/>
      <c r="H36" s="76"/>
      <c r="I36" s="76"/>
      <c r="J36" s="76"/>
      <c r="K36" s="76"/>
    </row>
    <row r="37" spans="1:17" ht="13">
      <c r="A37" s="7" t="s">
        <v>137</v>
      </c>
      <c r="B37" s="62">
        <f>SUM(B55:B57)/H53</f>
        <v>11692.436464088398</v>
      </c>
      <c r="F37" s="76"/>
      <c r="G37" s="76"/>
      <c r="H37" s="76"/>
      <c r="I37" s="84"/>
      <c r="J37" s="76"/>
      <c r="K37" s="76"/>
    </row>
    <row r="38" spans="1:17" ht="13">
      <c r="B38" s="6"/>
      <c r="I38" s="5"/>
    </row>
    <row r="39" spans="1:17" ht="13">
      <c r="A39" s="41" t="str">
        <f>B13</f>
        <v>Taux d’occupation moyen des ETP réalisés par l’employeur entre le 1.1.2017 et le 31.12.2019 ; sauf si ce taux &lt; 0,92, alors calcul de f sur les deux meilleures années (plafonné à 92%)</v>
      </c>
      <c r="B39" s="6"/>
      <c r="I39" s="5"/>
      <c r="L39" s="90"/>
    </row>
    <row r="40" spans="1:17" ht="13">
      <c r="A40" s="7" t="s">
        <v>138</v>
      </c>
      <c r="B40" s="64">
        <f>IF((B45/E55)&lt;TxSubSPS,MIN(TxSubSPS,MAX((B46+B47)/SUM(E56,E57),(B47+B48)/SUM(E57,E58),(B46+B48)/SUM(E56,E58))),B45/E55)</f>
        <v>0.96996152203281139</v>
      </c>
      <c r="D40" s="76"/>
      <c r="E40" s="76"/>
      <c r="F40" s="76"/>
      <c r="G40" s="76"/>
      <c r="H40" s="76"/>
      <c r="I40" s="5"/>
    </row>
    <row r="41" spans="1:17">
      <c r="B41" s="6"/>
    </row>
    <row r="42" spans="1:17" ht="13">
      <c r="A42" s="41" t="str">
        <f>B14</f>
        <v>Variable d’indexation permettant la prise en compte de l’évolution des RCSS, entre les années de référence et l’entrée en application de la réforme</v>
      </c>
      <c r="B42" s="42"/>
    </row>
    <row r="43" spans="1:17" s="34" customFormat="1" ht="13">
      <c r="A43" s="7" t="s">
        <v>143</v>
      </c>
      <c r="B43" s="79">
        <f>VarG</f>
        <v>1.05</v>
      </c>
      <c r="L43" s="91"/>
      <c r="N43" s="91"/>
      <c r="O43" s="91"/>
      <c r="P43" s="91"/>
    </row>
    <row r="44" spans="1:17">
      <c r="A44" s="22"/>
    </row>
    <row r="45" spans="1:17" ht="13">
      <c r="A45" s="78" t="s">
        <v>72</v>
      </c>
      <c r="B45" s="43">
        <f>SUM(B46:B48)</f>
        <v>127.16195553850157</v>
      </c>
      <c r="D45" s="7" t="s">
        <v>87</v>
      </c>
      <c r="E45" s="43"/>
      <c r="G45" s="7" t="s">
        <v>85</v>
      </c>
      <c r="H45" s="43"/>
      <c r="L45" s="89"/>
    </row>
    <row r="46" spans="1:17" ht="13">
      <c r="A46" s="65" t="s">
        <v>67</v>
      </c>
      <c r="B46" s="53">
        <f>B52/Point_2017</f>
        <v>41.284305733979352</v>
      </c>
      <c r="D46" s="93">
        <v>2017</v>
      </c>
      <c r="E46" s="186">
        <f>'Données FOREm &amp; Simul. UNIPSO'!C24</f>
        <v>7.99</v>
      </c>
      <c r="G46" s="93">
        <v>2017</v>
      </c>
      <c r="H46" s="94">
        <f>B46/(H59/COUNTA(H59))</f>
        <v>0.89748490726042074</v>
      </c>
      <c r="L46" s="116"/>
      <c r="M46" s="75"/>
      <c r="N46" s="90"/>
      <c r="O46" s="92"/>
      <c r="P46" s="92"/>
      <c r="Q46" s="92"/>
    </row>
    <row r="47" spans="1:17">
      <c r="A47" s="65" t="s">
        <v>68</v>
      </c>
      <c r="B47" s="53">
        <f>B53/Point_2018</f>
        <v>41.807919319908201</v>
      </c>
      <c r="D47" s="93">
        <v>2018</v>
      </c>
      <c r="E47" s="186">
        <f>'Données FOREm &amp; Simul. UNIPSO'!D24</f>
        <v>8.11</v>
      </c>
      <c r="G47" s="93">
        <v>2018</v>
      </c>
      <c r="H47" s="94">
        <f>B47/(H60/COUNTA(H60))</f>
        <v>0.90886781130235217</v>
      </c>
      <c r="O47" s="90"/>
      <c r="P47" s="90"/>
      <c r="Q47" s="90"/>
    </row>
    <row r="48" spans="1:17" ht="13">
      <c r="A48" s="65" t="s">
        <v>69</v>
      </c>
      <c r="B48" s="53">
        <f>B54/Point_2019</f>
        <v>44.069730484614027</v>
      </c>
      <c r="D48" s="93">
        <v>2019</v>
      </c>
      <c r="E48" s="186">
        <f>'Données FOREm &amp; Simul. UNIPSO'!E24</f>
        <v>8.26</v>
      </c>
      <c r="G48" s="93">
        <v>2019</v>
      </c>
      <c r="H48" s="94">
        <f>B48/(H61/COUNTA(H61))</f>
        <v>0.95803761923073971</v>
      </c>
      <c r="L48" s="89"/>
    </row>
    <row r="49" spans="1:12">
      <c r="C49" s="35"/>
      <c r="E49" s="35"/>
    </row>
    <row r="50" spans="1:12" ht="13">
      <c r="D50" s="78" t="s">
        <v>88</v>
      </c>
      <c r="E50" s="43"/>
      <c r="G50" s="7" t="s">
        <v>144</v>
      </c>
      <c r="H50" s="66"/>
      <c r="I50" s="89"/>
      <c r="K50" s="89"/>
    </row>
    <row r="51" spans="1:12" s="4" customFormat="1" ht="13">
      <c r="A51" s="7" t="s">
        <v>66</v>
      </c>
      <c r="B51" s="8">
        <f>SUM(B52:B58)</f>
        <v>668352.93000000005</v>
      </c>
      <c r="D51" s="65" t="s">
        <v>67</v>
      </c>
      <c r="E51" s="94">
        <f>B46/E56</f>
        <v>0.95059419143401691</v>
      </c>
      <c r="G51" s="63"/>
      <c r="H51" s="263">
        <f>'Données FOREm &amp; Simul. UNIPSO'!K22</f>
        <v>8.1199999999999992</v>
      </c>
      <c r="I51" s="130" t="s">
        <v>168</v>
      </c>
      <c r="K51" s="116"/>
    </row>
    <row r="52" spans="1:12">
      <c r="A52" s="24" t="s">
        <v>59</v>
      </c>
      <c r="B52" s="184">
        <f>'Données FOREm &amp; Simul. UNIPSO'!C18</f>
        <v>126618.14</v>
      </c>
      <c r="D52" s="65" t="s">
        <v>68</v>
      </c>
      <c r="E52" s="94">
        <f>B47/E57</f>
        <v>0.96957141279935533</v>
      </c>
      <c r="H52" s="35"/>
      <c r="L52" s="3"/>
    </row>
    <row r="53" spans="1:12" ht="13">
      <c r="A53" s="24" t="s">
        <v>60</v>
      </c>
      <c r="B53" s="184">
        <f>'Données FOREm &amp; Simul. UNIPSO'!D18</f>
        <v>129341.16</v>
      </c>
      <c r="C53" s="76"/>
      <c r="D53" s="65" t="s">
        <v>69</v>
      </c>
      <c r="E53" s="94">
        <f>B48/E58</f>
        <v>0.98921953949750907</v>
      </c>
      <c r="G53" s="7" t="s">
        <v>122</v>
      </c>
      <c r="H53" s="43">
        <f>SUM(H54:H56)</f>
        <v>23.53</v>
      </c>
      <c r="I53" s="89"/>
      <c r="J53" s="89"/>
      <c r="K53" s="89"/>
      <c r="L53" s="51"/>
    </row>
    <row r="54" spans="1:12" ht="13">
      <c r="A54" s="24" t="s">
        <v>61</v>
      </c>
      <c r="B54" s="184">
        <f>'Données FOREm &amp; Simul. UNIPSO'!E18</f>
        <v>137270.6</v>
      </c>
      <c r="C54" s="76"/>
      <c r="G54" s="24">
        <v>2017</v>
      </c>
      <c r="H54" s="187">
        <f>'Données FOREm &amp; Simul. UNIPSO'!C25</f>
        <v>7.56</v>
      </c>
      <c r="I54" s="89"/>
      <c r="J54" s="89"/>
      <c r="L54" s="51"/>
    </row>
    <row r="55" spans="1:12" ht="13">
      <c r="A55" s="24" t="s">
        <v>118</v>
      </c>
      <c r="B55" s="184">
        <f>'Données FOREm &amp; Simul. UNIPSO'!C23</f>
        <v>87878.71</v>
      </c>
      <c r="C55" s="86"/>
      <c r="D55" s="78" t="s">
        <v>121</v>
      </c>
      <c r="E55" s="43">
        <f>SUM(E56:E87)</f>
        <v>131.1</v>
      </c>
      <c r="G55" s="24">
        <v>2018</v>
      </c>
      <c r="H55" s="187">
        <f>'Données FOREm &amp; Simul. UNIPSO'!D25</f>
        <v>7.86</v>
      </c>
      <c r="L55" s="51"/>
    </row>
    <row r="56" spans="1:12" ht="13">
      <c r="A56" s="24" t="s">
        <v>119</v>
      </c>
      <c r="B56" s="184">
        <f>'Données FOREm &amp; Simul. UNIPSO'!D23</f>
        <v>89542.31</v>
      </c>
      <c r="C56" s="76"/>
      <c r="D56" s="24">
        <v>2017</v>
      </c>
      <c r="E56" s="187">
        <f>'Données FOREm &amp; Simul. UNIPSO'!C20</f>
        <v>43.43</v>
      </c>
      <c r="F56" s="67"/>
      <c r="G56" s="119">
        <v>2019</v>
      </c>
      <c r="H56" s="188">
        <f>'Données FOREm &amp; Simul. UNIPSO'!E25</f>
        <v>8.11</v>
      </c>
      <c r="I56" s="4"/>
      <c r="L56" s="51"/>
    </row>
    <row r="57" spans="1:12" ht="13">
      <c r="A57" s="119" t="s">
        <v>120</v>
      </c>
      <c r="B57" s="185">
        <f>'Données FOREm &amp; Simul. UNIPSO'!E23</f>
        <v>97702.01</v>
      </c>
      <c r="C57" s="76"/>
      <c r="D57" s="24">
        <v>2018</v>
      </c>
      <c r="E57" s="187">
        <f>'Données FOREm &amp; Simul. UNIPSO'!D20</f>
        <v>43.12</v>
      </c>
      <c r="F57" s="113"/>
      <c r="L57" s="52"/>
    </row>
    <row r="58" spans="1:12" ht="13">
      <c r="A58" s="120"/>
      <c r="B58" s="121"/>
      <c r="C58" s="76"/>
      <c r="D58" s="119">
        <v>2019</v>
      </c>
      <c r="E58" s="188">
        <f>'Données FOREm &amp; Simul. UNIPSO'!E20</f>
        <v>44.55</v>
      </c>
      <c r="F58" s="25"/>
      <c r="G58" s="7" t="s">
        <v>29</v>
      </c>
      <c r="H58" s="43">
        <f>SUM(H59:H61)</f>
        <v>138</v>
      </c>
      <c r="L58" s="52"/>
    </row>
    <row r="59" spans="1:12" ht="13">
      <c r="C59" s="86"/>
      <c r="F59" s="25"/>
      <c r="G59" s="24">
        <v>2017</v>
      </c>
      <c r="H59" s="187">
        <f>'Données FOREm &amp; Simul. UNIPSO'!C19</f>
        <v>46</v>
      </c>
      <c r="L59" s="52"/>
    </row>
    <row r="60" spans="1:12" ht="13">
      <c r="C60" s="76"/>
      <c r="D60" s="123"/>
      <c r="E60" s="68"/>
      <c r="F60" s="68"/>
      <c r="G60" s="24">
        <v>2018</v>
      </c>
      <c r="H60" s="187">
        <f>'Données FOREm &amp; Simul. UNIPSO'!D19</f>
        <v>46</v>
      </c>
      <c r="J60" s="123"/>
      <c r="K60" s="68"/>
      <c r="L60" s="52"/>
    </row>
    <row r="61" spans="1:12" ht="13">
      <c r="C61" s="88"/>
      <c r="D61" s="123"/>
      <c r="E61" s="68"/>
      <c r="F61" s="68"/>
      <c r="G61" s="119">
        <v>2019</v>
      </c>
      <c r="H61" s="188">
        <f>'Données FOREm &amp; Simul. UNIPSO'!E19</f>
        <v>46</v>
      </c>
      <c r="J61" s="123"/>
      <c r="K61" s="68"/>
    </row>
    <row r="62" spans="1:12" ht="13">
      <c r="C62" s="76"/>
      <c r="D62" s="123"/>
      <c r="E62" s="68"/>
      <c r="F62" s="68"/>
      <c r="G62" s="123"/>
      <c r="H62" s="68"/>
      <c r="J62" s="123"/>
      <c r="K62" s="68"/>
    </row>
    <row r="63" spans="1:12" ht="31.25" customHeight="1">
      <c r="A63" s="246" t="s">
        <v>153</v>
      </c>
      <c r="B63" s="246"/>
      <c r="C63" s="86"/>
      <c r="D63" s="123"/>
      <c r="E63" s="37"/>
      <c r="F63" s="68"/>
      <c r="G63" s="123"/>
      <c r="H63" s="68"/>
      <c r="J63" s="123"/>
      <c r="K63" s="68"/>
    </row>
    <row r="64" spans="1:12" ht="14.5" thickBot="1">
      <c r="A64" s="247" t="s">
        <v>47</v>
      </c>
      <c r="B64" s="248"/>
      <c r="C64" s="76"/>
      <c r="D64" s="37"/>
      <c r="E64" s="37"/>
      <c r="F64" s="68"/>
      <c r="G64" s="37"/>
      <c r="H64" s="37"/>
      <c r="J64" s="37"/>
      <c r="K64" s="37"/>
    </row>
    <row r="65" spans="1:12" ht="14.5" thickBot="1">
      <c r="A65" s="243" t="s">
        <v>48</v>
      </c>
      <c r="B65" s="244"/>
      <c r="D65" s="123"/>
      <c r="E65" s="68"/>
      <c r="F65" s="68"/>
      <c r="G65" s="123"/>
      <c r="H65" s="68"/>
      <c r="J65" s="123"/>
      <c r="K65" s="68"/>
    </row>
    <row r="66" spans="1:12" ht="13">
      <c r="A66" s="197" t="s">
        <v>49</v>
      </c>
      <c r="B66" s="195">
        <f>$B$25</f>
        <v>46</v>
      </c>
      <c r="D66" s="22"/>
      <c r="E66" s="68"/>
      <c r="F66" s="68"/>
      <c r="G66" s="123"/>
      <c r="H66" s="68"/>
      <c r="J66" s="123"/>
      <c r="K66" s="68"/>
    </row>
    <row r="67" spans="1:12" ht="26.5" thickBot="1">
      <c r="A67" s="198" t="str">
        <f t="array" ref="A67">"Subvention en points rapportée à 2022 [valeur de point estimée à "&amp;ROUND(Point_2022,2)&amp;" €]"</f>
        <v>Subvention en points rapportée à 2022 [valeur de point estimée à 3184,94 €]</v>
      </c>
      <c r="B67" s="196">
        <f>$B$25*B28</f>
        <v>147428.16</v>
      </c>
      <c r="D67" s="22"/>
      <c r="E67" s="68"/>
      <c r="F67" s="68"/>
      <c r="G67" s="123"/>
      <c r="H67" s="68"/>
      <c r="J67" s="123"/>
      <c r="K67" s="68"/>
    </row>
    <row r="68" spans="1:12" ht="14.5" thickBot="1">
      <c r="A68" s="243" t="s">
        <v>50</v>
      </c>
      <c r="B68" s="244"/>
      <c r="D68" s="123"/>
      <c r="E68" s="68"/>
      <c r="F68" s="68"/>
      <c r="G68" s="123"/>
      <c r="H68" s="68"/>
      <c r="J68" s="123"/>
      <c r="K68" s="68"/>
    </row>
    <row r="69" spans="1:12" ht="26">
      <c r="A69" s="197" t="s">
        <v>176</v>
      </c>
      <c r="B69" s="189">
        <f>$B$37*$H$51</f>
        <v>94942.58408839778</v>
      </c>
      <c r="D69" s="123"/>
      <c r="E69" s="68"/>
      <c r="F69" s="68"/>
      <c r="G69" s="123"/>
      <c r="H69" s="68"/>
      <c r="J69" s="123"/>
      <c r="K69" s="68"/>
    </row>
    <row r="70" spans="1:12" ht="13">
      <c r="A70" s="199" t="s">
        <v>80</v>
      </c>
      <c r="B70" s="191">
        <f>IF('Données FOREm &amp; Simul. UNIPSO'!K4="","",VLOOKUP('Données FOREm &amp; Simul. UNIPSO'!K4,'Evolutions barémique'!F5:G10,2,0))</f>
        <v>1.0184305226694736</v>
      </c>
      <c r="D70" s="123"/>
      <c r="E70" s="68"/>
      <c r="F70" s="68"/>
      <c r="G70" s="123"/>
      <c r="H70" s="68"/>
      <c r="J70" s="123"/>
      <c r="K70" s="68"/>
    </row>
    <row r="71" spans="1:12" ht="13">
      <c r="A71" s="200" t="s">
        <v>166</v>
      </c>
      <c r="B71" s="191">
        <f>Coefficient_indexation_2020_2021</f>
        <v>1.02</v>
      </c>
      <c r="D71" s="123"/>
      <c r="E71" s="68"/>
      <c r="F71" s="68"/>
      <c r="G71" s="123"/>
      <c r="H71" s="68"/>
      <c r="J71" s="123"/>
      <c r="K71" s="68"/>
    </row>
    <row r="72" spans="1:12" ht="26.5" thickBot="1">
      <c r="A72" s="201" t="s">
        <v>167</v>
      </c>
      <c r="B72" s="190">
        <f>B69*B70^2*IF(B71=0,1,B71)</f>
        <v>100444.0078271098</v>
      </c>
      <c r="D72" s="123"/>
      <c r="E72" s="68"/>
      <c r="F72" s="68"/>
      <c r="G72" s="123"/>
      <c r="H72" s="68"/>
      <c r="J72" s="123"/>
      <c r="K72" s="68"/>
    </row>
    <row r="73" spans="1:12" ht="14.5" thickBot="1">
      <c r="A73" s="243" t="s">
        <v>51</v>
      </c>
      <c r="B73" s="244"/>
      <c r="D73" s="123"/>
      <c r="E73" s="68"/>
      <c r="F73" s="68"/>
      <c r="G73" s="123"/>
      <c r="H73" s="68"/>
      <c r="J73" s="123"/>
      <c r="K73" s="68"/>
    </row>
    <row r="74" spans="1:12" ht="13">
      <c r="A74" s="199" t="s">
        <v>52</v>
      </c>
      <c r="B74" s="259">
        <f>'Données FOREm &amp; Simul. UNIPSO'!K5</f>
        <v>0</v>
      </c>
      <c r="D74" s="123"/>
      <c r="E74" s="68"/>
      <c r="F74" s="68"/>
      <c r="G74" s="123"/>
      <c r="H74" s="68"/>
      <c r="J74" s="123"/>
      <c r="K74" s="68"/>
    </row>
    <row r="75" spans="1:12" ht="13">
      <c r="A75" s="199" t="s">
        <v>53</v>
      </c>
      <c r="B75" s="192">
        <f>$B$67+$B$72+$B$74</f>
        <v>247872.16782710981</v>
      </c>
      <c r="C75" s="9"/>
      <c r="D75" s="123"/>
      <c r="E75" s="68"/>
      <c r="F75" s="68"/>
      <c r="G75" s="123"/>
      <c r="H75" s="68"/>
      <c r="J75" s="123"/>
      <c r="K75" s="68"/>
    </row>
    <row r="76" spans="1:12" ht="13">
      <c r="A76" s="199" t="s">
        <v>156</v>
      </c>
      <c r="B76" s="203">
        <f>'Données FOREm &amp; Simul. UNIPSO'!K21</f>
        <v>0.94166748145583923</v>
      </c>
      <c r="C76" s="9"/>
      <c r="D76" s="37"/>
      <c r="E76" s="37"/>
      <c r="F76" s="68"/>
      <c r="G76" s="37"/>
      <c r="H76" s="37"/>
      <c r="J76" s="37"/>
      <c r="K76" s="37"/>
    </row>
    <row r="77" spans="1:12" ht="26">
      <c r="A77" s="201" t="s">
        <v>54</v>
      </c>
      <c r="B77" s="193">
        <f>$B$75*$B$76</f>
        <v>233413.16000075359</v>
      </c>
      <c r="C77" s="9"/>
      <c r="D77" s="123"/>
      <c r="E77" s="68"/>
      <c r="F77" s="68"/>
      <c r="G77" s="123"/>
      <c r="H77" s="68"/>
      <c r="J77" s="123"/>
      <c r="K77" s="68"/>
    </row>
    <row r="78" spans="1:12" ht="13">
      <c r="A78" s="202" t="s">
        <v>55</v>
      </c>
      <c r="B78" s="193">
        <f>B19</f>
        <v>232544.84637740802</v>
      </c>
      <c r="C78" s="9"/>
      <c r="D78" s="123"/>
      <c r="E78" s="68"/>
      <c r="F78" s="68"/>
      <c r="G78" s="123"/>
      <c r="H78" s="68"/>
      <c r="J78" s="123"/>
      <c r="K78" s="68"/>
      <c r="L78" s="20"/>
    </row>
    <row r="79" spans="1:12" ht="26">
      <c r="A79" s="183" t="s">
        <v>56</v>
      </c>
      <c r="B79" s="194">
        <f>$B$78-$B$77</f>
        <v>-868.31362334557343</v>
      </c>
      <c r="C79" s="9"/>
      <c r="D79" s="123"/>
      <c r="E79" s="68"/>
      <c r="F79" s="68"/>
      <c r="G79" s="123"/>
      <c r="H79" s="68"/>
      <c r="J79" s="123"/>
      <c r="K79" s="68"/>
      <c r="L79" s="10"/>
    </row>
    <row r="80" spans="1:12" ht="13">
      <c r="A80" s="181"/>
      <c r="B80" s="182">
        <f>IF($B$77=0,0,$B$79/$B$77)</f>
        <v>-3.720071410467045E-3</v>
      </c>
      <c r="C80" s="9"/>
      <c r="D80" s="123"/>
      <c r="E80" s="68"/>
      <c r="F80" s="68"/>
      <c r="G80" s="123"/>
      <c r="H80" s="68"/>
      <c r="J80" s="123"/>
      <c r="K80" s="68"/>
      <c r="L80" s="21"/>
    </row>
    <row r="81" spans="1:15" ht="13">
      <c r="A81" s="9"/>
      <c r="B81" s="9"/>
      <c r="C81" s="9"/>
      <c r="D81" s="123"/>
      <c r="E81" s="68"/>
      <c r="F81" s="68"/>
      <c r="G81" s="123"/>
      <c r="H81" s="68"/>
      <c r="J81" s="123"/>
      <c r="K81" s="68"/>
      <c r="L81" s="21"/>
    </row>
    <row r="82" spans="1:15" ht="13">
      <c r="A82" s="9"/>
      <c r="B82" s="9"/>
      <c r="C82" s="9"/>
      <c r="D82" s="123"/>
      <c r="E82" s="68"/>
      <c r="F82" s="68"/>
      <c r="G82" s="123"/>
      <c r="H82" s="68"/>
      <c r="J82" s="123"/>
      <c r="K82" s="68"/>
    </row>
    <row r="83" spans="1:15" ht="13">
      <c r="A83" s="9"/>
      <c r="B83" s="9"/>
      <c r="C83" s="9"/>
      <c r="D83" s="123"/>
      <c r="E83" s="68"/>
      <c r="F83" s="68"/>
      <c r="G83" s="123"/>
      <c r="H83" s="68"/>
      <c r="J83" s="123"/>
      <c r="K83" s="68"/>
    </row>
    <row r="84" spans="1:15" ht="13">
      <c r="A84" s="9"/>
      <c r="B84" s="9"/>
      <c r="C84" s="9"/>
      <c r="D84" s="123"/>
      <c r="E84" s="68"/>
      <c r="F84" s="68"/>
      <c r="G84" s="123"/>
      <c r="H84" s="68"/>
      <c r="J84" s="123"/>
      <c r="K84" s="68"/>
    </row>
    <row r="85" spans="1:15" ht="13">
      <c r="A85" s="9"/>
      <c r="B85" s="9"/>
      <c r="C85" s="9"/>
      <c r="D85" s="123"/>
      <c r="E85" s="68"/>
      <c r="F85" s="68"/>
      <c r="G85" s="123"/>
      <c r="H85" s="68"/>
      <c r="J85" s="123"/>
      <c r="K85" s="68"/>
    </row>
    <row r="86" spans="1:15" ht="13">
      <c r="A86" s="9"/>
      <c r="B86" s="9"/>
      <c r="C86" s="9"/>
      <c r="D86" s="123"/>
      <c r="E86" s="68"/>
      <c r="F86" s="68"/>
      <c r="G86" s="123"/>
      <c r="H86" s="68"/>
      <c r="J86" s="123"/>
      <c r="K86" s="68"/>
    </row>
    <row r="87" spans="1:15" ht="13">
      <c r="A87" s="9"/>
      <c r="B87" s="9"/>
      <c r="C87" s="9"/>
      <c r="D87" s="123"/>
      <c r="E87" s="68"/>
      <c r="F87" s="68"/>
      <c r="G87" s="123"/>
      <c r="H87" s="68"/>
      <c r="J87" s="123"/>
      <c r="K87" s="68"/>
    </row>
    <row r="88" spans="1:15" ht="13">
      <c r="D88" s="37"/>
      <c r="E88" s="122"/>
      <c r="F88" s="68"/>
      <c r="G88" s="37"/>
      <c r="H88" s="122"/>
      <c r="J88" s="37"/>
      <c r="K88" s="122"/>
    </row>
    <row r="89" spans="1:15">
      <c r="G89" s="37"/>
      <c r="H89" s="37"/>
      <c r="J89" s="37"/>
      <c r="K89" s="37"/>
    </row>
    <row r="90" spans="1:15">
      <c r="J90" s="37"/>
      <c r="K90" s="37"/>
    </row>
    <row r="91" spans="1:15">
      <c r="J91" s="37"/>
      <c r="K91" s="37"/>
    </row>
    <row r="92" spans="1:15">
      <c r="C92" s="76"/>
      <c r="J92" s="37"/>
      <c r="K92" s="37"/>
    </row>
    <row r="93" spans="1:15">
      <c r="J93" s="37"/>
      <c r="K93" s="37"/>
    </row>
    <row r="94" spans="1:15" ht="13">
      <c r="C94" s="83"/>
      <c r="D94" s="76"/>
      <c r="E94" s="76"/>
      <c r="F94" s="76"/>
      <c r="G94" s="76"/>
      <c r="H94" s="76"/>
      <c r="I94" s="85"/>
      <c r="J94" s="124"/>
      <c r="K94" s="125"/>
      <c r="L94" s="75"/>
      <c r="M94" s="75"/>
      <c r="N94" s="75"/>
      <c r="O94" s="75"/>
    </row>
    <row r="95" spans="1:15">
      <c r="C95" s="76"/>
      <c r="D95" s="76"/>
      <c r="E95" s="76"/>
      <c r="F95" s="76"/>
      <c r="G95" s="23"/>
      <c r="H95" s="76"/>
      <c r="I95" s="76"/>
      <c r="J95" s="42"/>
      <c r="K95" s="42"/>
      <c r="L95" s="76"/>
      <c r="M95" s="76"/>
      <c r="N95" s="76"/>
      <c r="O95" s="76"/>
    </row>
    <row r="96" spans="1:15" ht="13">
      <c r="C96" s="83"/>
      <c r="D96" s="76"/>
      <c r="E96" s="76"/>
      <c r="F96" s="76"/>
      <c r="G96" s="76"/>
      <c r="H96" s="76"/>
      <c r="I96" s="76"/>
      <c r="J96" s="42"/>
      <c r="K96" s="42"/>
      <c r="L96" s="76"/>
      <c r="M96" s="76"/>
      <c r="N96" s="76"/>
      <c r="O96" s="76"/>
    </row>
    <row r="97" spans="1:11">
      <c r="C97" s="39"/>
      <c r="J97" s="37"/>
      <c r="K97" s="37"/>
    </row>
    <row r="99" spans="1:11">
      <c r="C99" s="86"/>
    </row>
    <row r="106" spans="1:11">
      <c r="A106" s="9"/>
      <c r="B106" s="22"/>
    </row>
    <row r="107" spans="1:11" ht="13">
      <c r="A107" s="45"/>
    </row>
    <row r="108" spans="1:11" ht="13">
      <c r="A108" s="45"/>
    </row>
    <row r="109" spans="1:11" ht="13">
      <c r="A109" s="36"/>
    </row>
    <row r="110" spans="1:11" ht="13">
      <c r="A110" s="36"/>
    </row>
    <row r="111" spans="1:11" ht="13">
      <c r="A111" s="36"/>
    </row>
  </sheetData>
  <mergeCells count="6">
    <mergeCell ref="A68:B68"/>
    <mergeCell ref="A73:B73"/>
    <mergeCell ref="A4:B4"/>
    <mergeCell ref="A63:B63"/>
    <mergeCell ref="A64:B64"/>
    <mergeCell ref="A65:B6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dimension ref="A1:K85"/>
  <sheetViews>
    <sheetView topLeftCell="A28" zoomScale="126" zoomScaleNormal="126" workbookViewId="0">
      <selection activeCell="E75" sqref="E75"/>
    </sheetView>
  </sheetViews>
  <sheetFormatPr baseColWidth="10" defaultRowHeight="12.5"/>
  <cols>
    <col min="1" max="1" width="21.08984375" customWidth="1"/>
    <col min="2" max="2" width="20" customWidth="1"/>
    <col min="5" max="5" width="11.6328125" bestFit="1" customWidth="1"/>
    <col min="8" max="8" width="16.6328125" customWidth="1"/>
    <col min="9" max="9" width="9" customWidth="1"/>
    <col min="10" max="10" width="24.90625" customWidth="1"/>
  </cols>
  <sheetData>
    <row r="1" spans="1:5">
      <c r="A1" s="1" t="s">
        <v>37</v>
      </c>
    </row>
    <row r="2" spans="1:5" ht="13">
      <c r="A2" s="48" t="s">
        <v>38</v>
      </c>
      <c r="D2" s="28">
        <v>40908</v>
      </c>
      <c r="E2">
        <v>100</v>
      </c>
    </row>
    <row r="3" spans="1:5">
      <c r="A3" s="1"/>
      <c r="D3" s="28">
        <v>40939</v>
      </c>
      <c r="E3">
        <v>100</v>
      </c>
    </row>
    <row r="4" spans="1:5">
      <c r="A4" s="27"/>
      <c r="D4" s="28">
        <v>40968</v>
      </c>
      <c r="E4">
        <v>100</v>
      </c>
    </row>
    <row r="5" spans="1:5">
      <c r="A5" s="27"/>
      <c r="D5" s="28">
        <v>40999</v>
      </c>
      <c r="E5">
        <v>100</v>
      </c>
    </row>
    <row r="6" spans="1:5">
      <c r="A6" s="27"/>
      <c r="D6" s="28">
        <v>41029</v>
      </c>
      <c r="E6">
        <v>100</v>
      </c>
    </row>
    <row r="7" spans="1:5">
      <c r="D7" s="28">
        <v>41060</v>
      </c>
      <c r="E7">
        <v>100</v>
      </c>
    </row>
    <row r="8" spans="1:5">
      <c r="D8" s="28">
        <v>41090</v>
      </c>
      <c r="E8" s="71">
        <v>102</v>
      </c>
    </row>
    <row r="9" spans="1:5">
      <c r="D9" s="28">
        <v>41121</v>
      </c>
      <c r="E9">
        <v>102</v>
      </c>
    </row>
    <row r="10" spans="1:5">
      <c r="D10" s="28">
        <v>41152</v>
      </c>
      <c r="E10">
        <v>102</v>
      </c>
    </row>
    <row r="11" spans="1:5">
      <c r="D11" s="28">
        <v>41182</v>
      </c>
      <c r="E11">
        <v>102</v>
      </c>
    </row>
    <row r="12" spans="1:5">
      <c r="D12" s="28">
        <v>41213</v>
      </c>
      <c r="E12">
        <v>102</v>
      </c>
    </row>
    <row r="13" spans="1:5">
      <c r="D13" s="28">
        <v>41243</v>
      </c>
      <c r="E13">
        <v>102</v>
      </c>
    </row>
    <row r="14" spans="1:5">
      <c r="D14" s="28">
        <v>41274</v>
      </c>
      <c r="E14">
        <v>102</v>
      </c>
    </row>
    <row r="15" spans="1:5">
      <c r="D15" s="28">
        <v>41305</v>
      </c>
      <c r="E15">
        <v>102</v>
      </c>
    </row>
    <row r="16" spans="1:5">
      <c r="D16" s="28">
        <v>41333</v>
      </c>
      <c r="E16">
        <v>102</v>
      </c>
    </row>
    <row r="17" spans="4:11">
      <c r="D17" s="28">
        <v>41364</v>
      </c>
      <c r="E17">
        <v>102</v>
      </c>
    </row>
    <row r="18" spans="4:11">
      <c r="D18" s="28">
        <v>41394</v>
      </c>
      <c r="E18">
        <v>102</v>
      </c>
    </row>
    <row r="19" spans="4:11">
      <c r="D19" s="28">
        <v>41425</v>
      </c>
      <c r="E19">
        <v>102</v>
      </c>
    </row>
    <row r="20" spans="4:11">
      <c r="D20" s="28">
        <v>41455</v>
      </c>
      <c r="E20">
        <f>E19*1.02</f>
        <v>104.04</v>
      </c>
    </row>
    <row r="21" spans="4:11">
      <c r="D21" s="28">
        <v>41486</v>
      </c>
      <c r="E21">
        <v>104.04</v>
      </c>
    </row>
    <row r="22" spans="4:11">
      <c r="D22" s="28">
        <v>41517</v>
      </c>
      <c r="E22">
        <v>104.04</v>
      </c>
    </row>
    <row r="23" spans="4:11">
      <c r="D23" s="28">
        <v>41547</v>
      </c>
      <c r="E23">
        <v>104.04</v>
      </c>
    </row>
    <row r="24" spans="4:11">
      <c r="D24" s="28">
        <v>41578</v>
      </c>
      <c r="E24">
        <v>104.04</v>
      </c>
    </row>
    <row r="25" spans="4:11" ht="25">
      <c r="D25" s="28">
        <v>41608</v>
      </c>
      <c r="E25">
        <v>104.04</v>
      </c>
      <c r="I25" s="72"/>
      <c r="J25" s="71" t="s">
        <v>75</v>
      </c>
      <c r="K25" s="73">
        <f>1.01*1.02^3-1</f>
        <v>7.1820079999999953E-2</v>
      </c>
    </row>
    <row r="26" spans="4:11">
      <c r="D26" s="28">
        <v>41639</v>
      </c>
      <c r="E26">
        <v>104.04</v>
      </c>
    </row>
    <row r="27" spans="4:11">
      <c r="D27" s="28">
        <v>41670</v>
      </c>
      <c r="E27">
        <v>104.04</v>
      </c>
    </row>
    <row r="28" spans="4:11">
      <c r="D28" s="28">
        <v>41698</v>
      </c>
      <c r="E28">
        <v>104.04</v>
      </c>
    </row>
    <row r="29" spans="4:11">
      <c r="D29" s="28">
        <v>41729</v>
      </c>
      <c r="E29">
        <v>104.04</v>
      </c>
    </row>
    <row r="30" spans="4:11">
      <c r="D30" s="28">
        <v>41759</v>
      </c>
      <c r="E30">
        <v>104.04</v>
      </c>
    </row>
    <row r="31" spans="4:11">
      <c r="D31" s="28">
        <v>41790</v>
      </c>
      <c r="E31">
        <v>104.04</v>
      </c>
    </row>
    <row r="32" spans="4:11">
      <c r="D32" s="28">
        <v>41820</v>
      </c>
      <c r="E32">
        <v>104.04</v>
      </c>
    </row>
    <row r="33" spans="2:9">
      <c r="D33" s="28">
        <v>41851</v>
      </c>
      <c r="E33">
        <v>104.04</v>
      </c>
    </row>
    <row r="34" spans="2:9">
      <c r="D34" s="28">
        <v>41882</v>
      </c>
      <c r="E34">
        <v>104.04</v>
      </c>
      <c r="G34" s="1" t="s">
        <v>19</v>
      </c>
    </row>
    <row r="35" spans="2:9">
      <c r="D35" s="28">
        <v>41912</v>
      </c>
      <c r="E35" s="71">
        <f>E34*1.02</f>
        <v>106.1208</v>
      </c>
      <c r="G35">
        <v>2016</v>
      </c>
      <c r="H35" s="55">
        <f>AVERAGE(E2:E13)</f>
        <v>101</v>
      </c>
    </row>
    <row r="36" spans="2:9">
      <c r="D36" s="28">
        <v>41943</v>
      </c>
      <c r="E36">
        <f>E35</f>
        <v>106.1208</v>
      </c>
      <c r="G36">
        <v>2017</v>
      </c>
      <c r="H36" s="55">
        <f>AVERAGE(E14:E25)</f>
        <v>103.01999999999998</v>
      </c>
    </row>
    <row r="37" spans="2:9">
      <c r="D37" s="28">
        <v>41973</v>
      </c>
      <c r="E37">
        <f>E36</f>
        <v>106.1208</v>
      </c>
      <c r="G37">
        <v>2018</v>
      </c>
      <c r="H37" s="55">
        <f>AVERAGE(E26:E37)</f>
        <v>104.56019999999997</v>
      </c>
    </row>
    <row r="38" spans="2:9">
      <c r="D38" s="28">
        <v>42004</v>
      </c>
      <c r="E38">
        <f t="shared" ref="E38:E52" si="0">E37</f>
        <v>106.1208</v>
      </c>
      <c r="G38">
        <v>2019</v>
      </c>
      <c r="H38" s="55">
        <f>AVERAGE(E38:E49)</f>
        <v>106.12079999999999</v>
      </c>
    </row>
    <row r="39" spans="2:9">
      <c r="D39" s="28">
        <v>42035</v>
      </c>
      <c r="E39">
        <f t="shared" si="0"/>
        <v>106.1208</v>
      </c>
      <c r="G39">
        <v>2020</v>
      </c>
      <c r="H39">
        <f>AVERAGE(E50:E61)</f>
        <v>107.71261199999999</v>
      </c>
    </row>
    <row r="40" spans="2:9">
      <c r="D40" s="28">
        <v>42063</v>
      </c>
      <c r="E40">
        <f t="shared" si="0"/>
        <v>106.1208</v>
      </c>
      <c r="G40">
        <v>2021</v>
      </c>
      <c r="H40">
        <f>AVERAGE(E62:E73)</f>
        <v>108.96483743999998</v>
      </c>
    </row>
    <row r="41" spans="2:9">
      <c r="D41" s="28">
        <v>42094</v>
      </c>
      <c r="E41">
        <f t="shared" si="0"/>
        <v>106.1208</v>
      </c>
      <c r="G41">
        <v>2022</v>
      </c>
      <c r="H41">
        <f>AVERAGE(E74:E85)</f>
        <v>112.43222845920002</v>
      </c>
      <c r="I41" s="73">
        <f>(H41-H35)/H35</f>
        <v>0.11319038078415861</v>
      </c>
    </row>
    <row r="42" spans="2:9">
      <c r="D42" s="28">
        <v>42124</v>
      </c>
      <c r="E42">
        <f t="shared" si="0"/>
        <v>106.1208</v>
      </c>
    </row>
    <row r="43" spans="2:9">
      <c r="D43" s="28">
        <v>42155</v>
      </c>
      <c r="E43">
        <f t="shared" si="0"/>
        <v>106.1208</v>
      </c>
    </row>
    <row r="44" spans="2:9">
      <c r="D44" s="28">
        <v>42185</v>
      </c>
      <c r="E44">
        <f t="shared" si="0"/>
        <v>106.1208</v>
      </c>
    </row>
    <row r="45" spans="2:9">
      <c r="D45" s="28">
        <v>42216</v>
      </c>
      <c r="E45">
        <f t="shared" si="0"/>
        <v>106.1208</v>
      </c>
    </row>
    <row r="46" spans="2:9">
      <c r="D46" s="28">
        <v>42247</v>
      </c>
      <c r="E46">
        <f t="shared" si="0"/>
        <v>106.1208</v>
      </c>
    </row>
    <row r="47" spans="2:9" ht="13" thickBot="1">
      <c r="D47" s="28">
        <v>42277</v>
      </c>
      <c r="E47">
        <f t="shared" si="0"/>
        <v>106.1208</v>
      </c>
    </row>
    <row r="48" spans="2:9">
      <c r="B48" s="29" t="s">
        <v>30</v>
      </c>
      <c r="C48" s="30">
        <f>E49/E14</f>
        <v>1.0404</v>
      </c>
      <c r="D48" s="28">
        <v>42308</v>
      </c>
      <c r="E48">
        <f t="shared" si="0"/>
        <v>106.1208</v>
      </c>
    </row>
    <row r="49" spans="2:5" ht="38" thickBot="1">
      <c r="B49" s="31" t="s">
        <v>18</v>
      </c>
      <c r="C49" s="32">
        <f>C48+0.01</f>
        <v>1.0504</v>
      </c>
      <c r="D49" s="28">
        <v>42338</v>
      </c>
      <c r="E49">
        <f t="shared" si="0"/>
        <v>106.1208</v>
      </c>
    </row>
    <row r="50" spans="2:5">
      <c r="D50" s="28">
        <v>42369</v>
      </c>
      <c r="E50">
        <f t="shared" si="0"/>
        <v>106.1208</v>
      </c>
    </row>
    <row r="51" spans="2:5">
      <c r="D51" s="28">
        <v>42400</v>
      </c>
      <c r="E51">
        <f t="shared" si="0"/>
        <v>106.1208</v>
      </c>
    </row>
    <row r="52" spans="2:5">
      <c r="D52" s="28">
        <v>42429</v>
      </c>
      <c r="E52">
        <f t="shared" si="0"/>
        <v>106.1208</v>
      </c>
    </row>
    <row r="53" spans="2:5">
      <c r="D53" s="28">
        <v>42460</v>
      </c>
      <c r="E53" s="71">
        <f>E52*1.02</f>
        <v>108.243216</v>
      </c>
    </row>
    <row r="54" spans="2:5">
      <c r="D54" s="28">
        <v>42490</v>
      </c>
      <c r="E54">
        <f>E53</f>
        <v>108.243216</v>
      </c>
    </row>
    <row r="55" spans="2:5">
      <c r="D55" s="28">
        <v>42521</v>
      </c>
      <c r="E55">
        <f t="shared" ref="E55:E74" si="1">E54</f>
        <v>108.243216</v>
      </c>
    </row>
    <row r="56" spans="2:5">
      <c r="D56" s="28">
        <v>42551</v>
      </c>
      <c r="E56">
        <f t="shared" si="1"/>
        <v>108.243216</v>
      </c>
    </row>
    <row r="57" spans="2:5">
      <c r="D57" s="28">
        <v>42582</v>
      </c>
      <c r="E57">
        <f t="shared" si="1"/>
        <v>108.243216</v>
      </c>
    </row>
    <row r="58" spans="2:5">
      <c r="D58" s="28">
        <v>42613</v>
      </c>
      <c r="E58">
        <f t="shared" si="1"/>
        <v>108.243216</v>
      </c>
    </row>
    <row r="59" spans="2:5">
      <c r="D59" s="28">
        <v>42643</v>
      </c>
      <c r="E59">
        <f t="shared" si="1"/>
        <v>108.243216</v>
      </c>
    </row>
    <row r="60" spans="2:5">
      <c r="D60" s="28">
        <v>42674</v>
      </c>
      <c r="E60">
        <f t="shared" si="1"/>
        <v>108.243216</v>
      </c>
    </row>
    <row r="61" spans="2:5">
      <c r="D61" s="28">
        <v>42704</v>
      </c>
      <c r="E61">
        <f t="shared" si="1"/>
        <v>108.243216</v>
      </c>
    </row>
    <row r="62" spans="2:5">
      <c r="D62" s="28">
        <v>42735</v>
      </c>
      <c r="E62">
        <f t="shared" si="1"/>
        <v>108.243216</v>
      </c>
    </row>
    <row r="63" spans="2:5">
      <c r="D63" s="28">
        <v>42766</v>
      </c>
      <c r="E63">
        <f t="shared" si="1"/>
        <v>108.243216</v>
      </c>
    </row>
    <row r="64" spans="2:5">
      <c r="D64" s="28">
        <v>42794</v>
      </c>
      <c r="E64">
        <f t="shared" si="1"/>
        <v>108.243216</v>
      </c>
    </row>
    <row r="65" spans="4:6">
      <c r="D65" s="28">
        <v>42825</v>
      </c>
      <c r="E65">
        <f t="shared" si="1"/>
        <v>108.243216</v>
      </c>
    </row>
    <row r="66" spans="4:6">
      <c r="D66" s="28">
        <v>42855</v>
      </c>
      <c r="E66">
        <f t="shared" si="1"/>
        <v>108.243216</v>
      </c>
    </row>
    <row r="67" spans="4:6">
      <c r="D67" s="28">
        <v>42886</v>
      </c>
      <c r="E67">
        <f t="shared" si="1"/>
        <v>108.243216</v>
      </c>
    </row>
    <row r="68" spans="4:6">
      <c r="D68" s="28">
        <v>42916</v>
      </c>
      <c r="E68">
        <f t="shared" si="1"/>
        <v>108.243216</v>
      </c>
    </row>
    <row r="69" spans="4:6">
      <c r="D69" s="28">
        <v>42947</v>
      </c>
      <c r="E69">
        <f t="shared" si="1"/>
        <v>108.243216</v>
      </c>
    </row>
    <row r="70" spans="4:6">
      <c r="D70" s="28">
        <v>42978</v>
      </c>
      <c r="E70">
        <f>E69*1.02</f>
        <v>110.40808032000001</v>
      </c>
    </row>
    <row r="71" spans="4:6">
      <c r="D71" s="28">
        <v>43008</v>
      </c>
      <c r="E71">
        <f t="shared" si="1"/>
        <v>110.40808032000001</v>
      </c>
    </row>
    <row r="72" spans="4:6">
      <c r="D72" s="28">
        <v>43039</v>
      </c>
      <c r="E72">
        <f t="shared" si="1"/>
        <v>110.40808032000001</v>
      </c>
    </row>
    <row r="73" spans="4:6">
      <c r="D73" s="28">
        <v>43069</v>
      </c>
      <c r="E73">
        <f t="shared" si="1"/>
        <v>110.40808032000001</v>
      </c>
    </row>
    <row r="74" spans="4:6">
      <c r="D74" s="28">
        <v>43100</v>
      </c>
      <c r="E74">
        <f t="shared" si="1"/>
        <v>110.40808032000001</v>
      </c>
    </row>
    <row r="75" spans="4:6">
      <c r="D75" s="28">
        <v>43131</v>
      </c>
      <c r="E75" s="26">
        <f>E74*1.02</f>
        <v>112.61624192640001</v>
      </c>
      <c r="F75" s="82" t="s">
        <v>81</v>
      </c>
    </row>
    <row r="76" spans="4:6">
      <c r="D76" s="28">
        <v>43159</v>
      </c>
      <c r="E76">
        <f>E75</f>
        <v>112.61624192640001</v>
      </c>
    </row>
    <row r="77" spans="4:6">
      <c r="D77" s="28">
        <v>43190</v>
      </c>
      <c r="E77">
        <f t="shared" ref="E77:E85" si="2">E76</f>
        <v>112.61624192640001</v>
      </c>
    </row>
    <row r="78" spans="4:6">
      <c r="D78" s="28">
        <v>43220</v>
      </c>
      <c r="E78">
        <f t="shared" si="2"/>
        <v>112.61624192640001</v>
      </c>
    </row>
    <row r="79" spans="4:6">
      <c r="D79" s="28">
        <v>43251</v>
      </c>
      <c r="E79">
        <f t="shared" si="2"/>
        <v>112.61624192640001</v>
      </c>
    </row>
    <row r="80" spans="4:6">
      <c r="D80" s="28">
        <v>43281</v>
      </c>
      <c r="E80">
        <f t="shared" si="2"/>
        <v>112.61624192640001</v>
      </c>
    </row>
    <row r="81" spans="4:6">
      <c r="D81" s="28">
        <v>43312</v>
      </c>
      <c r="E81">
        <f t="shared" si="2"/>
        <v>112.61624192640001</v>
      </c>
    </row>
    <row r="82" spans="4:6">
      <c r="D82" s="28">
        <v>43343</v>
      </c>
      <c r="E82">
        <f t="shared" si="2"/>
        <v>112.61624192640001</v>
      </c>
    </row>
    <row r="83" spans="4:6">
      <c r="D83" s="28">
        <v>43373</v>
      </c>
      <c r="E83">
        <f t="shared" si="2"/>
        <v>112.61624192640001</v>
      </c>
    </row>
    <row r="84" spans="4:6">
      <c r="D84" s="28">
        <v>43404</v>
      </c>
      <c r="E84">
        <f t="shared" si="2"/>
        <v>112.61624192640001</v>
      </c>
    </row>
    <row r="85" spans="4:6">
      <c r="D85" s="28">
        <v>43434</v>
      </c>
      <c r="E85">
        <f t="shared" si="2"/>
        <v>112.61624192640001</v>
      </c>
      <c r="F85" s="74"/>
    </row>
  </sheetData>
  <sheetProtection algorithmName="SHA-512" hashValue="FLFxOtpt1ZeeMFznnlJbcGtirWpTDBEP45EtDVQKSIiqrBhhlpCumCGqkPwObVyunRqIkYMcIRiMRzIQJDRptQ==" saltValue="PLxS4Hhxkdbq4uCZ5zx9ww==" spinCount="100000" sheet="1" objects="1" scenarios="1"/>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6"/>
  <sheetViews>
    <sheetView topLeftCell="A31" zoomScale="170" zoomScaleNormal="170" workbookViewId="0">
      <selection activeCell="B46" sqref="B46"/>
    </sheetView>
  </sheetViews>
  <sheetFormatPr baseColWidth="10" defaultColWidth="10.6328125" defaultRowHeight="12.5"/>
  <cols>
    <col min="1" max="1" width="55.08984375" bestFit="1" customWidth="1"/>
    <col min="2" max="2" width="11.6328125" bestFit="1" customWidth="1"/>
    <col min="3" max="3" width="10.6328125" style="12"/>
    <col min="4" max="4" width="22.08984375" customWidth="1"/>
    <col min="6" max="6" width="27.6328125" customWidth="1"/>
    <col min="7" max="7" width="27.6328125" bestFit="1" customWidth="1"/>
  </cols>
  <sheetData>
    <row r="1" spans="1:7" ht="13">
      <c r="A1" s="11" t="s">
        <v>3</v>
      </c>
    </row>
    <row r="2" spans="1:7">
      <c r="A2" s="40" t="s">
        <v>20</v>
      </c>
    </row>
    <row r="3" spans="1:7" ht="13">
      <c r="A3" s="13"/>
      <c r="B3" s="17" t="s">
        <v>4</v>
      </c>
      <c r="C3" s="18" t="s">
        <v>5</v>
      </c>
    </row>
    <row r="4" spans="1:7">
      <c r="A4" s="14" t="s">
        <v>86</v>
      </c>
      <c r="B4" s="14">
        <v>0.92</v>
      </c>
      <c r="C4" s="15">
        <v>42706</v>
      </c>
    </row>
    <row r="5" spans="1:7">
      <c r="A5" s="14" t="s">
        <v>84</v>
      </c>
      <c r="B5" s="14">
        <v>1.05</v>
      </c>
      <c r="C5" s="15">
        <v>42699</v>
      </c>
    </row>
    <row r="6" spans="1:7">
      <c r="A6" s="14" t="s">
        <v>25</v>
      </c>
      <c r="B6" s="14">
        <v>1.0431999999999999</v>
      </c>
      <c r="C6" s="15">
        <v>41915</v>
      </c>
    </row>
    <row r="7" spans="1:7" ht="12" customHeight="1">
      <c r="A7" s="14" t="s">
        <v>26</v>
      </c>
      <c r="B7" s="14"/>
      <c r="C7" s="15"/>
    </row>
    <row r="8" spans="1:7" ht="13.25" customHeight="1">
      <c r="A8" s="14" t="s">
        <v>10</v>
      </c>
      <c r="B8" s="14">
        <v>1.0189999999999999</v>
      </c>
      <c r="C8" s="15">
        <v>41725</v>
      </c>
    </row>
    <row r="9" spans="1:7" s="48" customFormat="1" ht="13">
      <c r="A9" s="46" t="s">
        <v>1</v>
      </c>
      <c r="B9" s="54"/>
      <c r="C9" s="47"/>
      <c r="F9"/>
      <c r="G9"/>
    </row>
    <row r="10" spans="1:7">
      <c r="A10" s="14" t="s">
        <v>2</v>
      </c>
      <c r="B10" s="14">
        <v>1.5</v>
      </c>
      <c r="C10" s="15">
        <v>41725</v>
      </c>
    </row>
    <row r="11" spans="1:7">
      <c r="A11" s="14" t="s">
        <v>7</v>
      </c>
      <c r="B11" s="16">
        <f>Point_moyen*Depassement</f>
        <v>0</v>
      </c>
      <c r="C11" s="15">
        <v>41725</v>
      </c>
    </row>
    <row r="12" spans="1:7">
      <c r="A12" s="14" t="s">
        <v>6</v>
      </c>
      <c r="B12" s="19">
        <v>3066.98</v>
      </c>
      <c r="C12" s="14"/>
    </row>
    <row r="13" spans="1:7">
      <c r="A13" s="14" t="s">
        <v>8</v>
      </c>
      <c r="B13" s="19">
        <v>3093.7</v>
      </c>
      <c r="C13" s="14"/>
    </row>
    <row r="14" spans="1:7" s="48" customFormat="1" ht="26">
      <c r="A14" s="14" t="s">
        <v>31</v>
      </c>
      <c r="B14" s="19">
        <v>3114.85</v>
      </c>
      <c r="C14" s="58">
        <f>Point_2018*(AVERAGE(B35:B36)/AVERAGE(B37:B38))</f>
        <v>3150.50079238537</v>
      </c>
      <c r="D14" s="59" t="s">
        <v>46</v>
      </c>
      <c r="E14" t="s">
        <v>77</v>
      </c>
      <c r="F14"/>
      <c r="G14"/>
    </row>
    <row r="15" spans="1:7" s="48" customFormat="1" ht="26">
      <c r="A15" s="14" t="s">
        <v>32</v>
      </c>
      <c r="B15" s="19">
        <v>3140.54</v>
      </c>
      <c r="C15" s="58">
        <f>Point_2019*(AVERAGE(B33:B34)/AVERAGE(B35:B36))</f>
        <v>3155.3429022156852</v>
      </c>
      <c r="D15" s="59" t="s">
        <v>46</v>
      </c>
      <c r="E15" t="s">
        <v>78</v>
      </c>
      <c r="F15"/>
      <c r="G15"/>
    </row>
    <row r="16" spans="1:7" s="48" customFormat="1" ht="13">
      <c r="A16" s="46" t="s">
        <v>35</v>
      </c>
      <c r="B16" s="50">
        <f>Point_2020*(AVERAGE(B33:B34)/AVERAGE(B35:B36))</f>
        <v>3181.366870996821</v>
      </c>
      <c r="C16" s="47"/>
    </row>
    <row r="17" spans="1:5" s="48" customFormat="1" ht="13">
      <c r="A17" s="46" t="s">
        <v>36</v>
      </c>
      <c r="B17" s="50">
        <f>Point_2020*(AVERAGE(B29:B30)/AVERAGE(B31:B32))</f>
        <v>3184.943147598739</v>
      </c>
      <c r="C17" s="47"/>
    </row>
    <row r="18" spans="1:5" s="48" customFormat="1" ht="13">
      <c r="A18" s="46" t="s">
        <v>155</v>
      </c>
      <c r="B18" s="19">
        <v>3204.96</v>
      </c>
      <c r="C18" s="47"/>
    </row>
    <row r="19" spans="1:5">
      <c r="A19" s="14" t="s">
        <v>11</v>
      </c>
      <c r="B19" s="14">
        <v>101.81</v>
      </c>
      <c r="C19" s="15">
        <v>41894</v>
      </c>
    </row>
    <row r="20" spans="1:5">
      <c r="A20" s="14" t="s">
        <v>58</v>
      </c>
      <c r="B20" s="14">
        <v>103.72</v>
      </c>
      <c r="C20" s="15"/>
    </row>
    <row r="21" spans="1:5">
      <c r="A21" s="14" t="s">
        <v>12</v>
      </c>
      <c r="B21" s="16">
        <v>106.01</v>
      </c>
      <c r="C21" s="15">
        <v>42011</v>
      </c>
    </row>
    <row r="22" spans="1:5">
      <c r="A22" s="14" t="s">
        <v>22</v>
      </c>
      <c r="B22" s="16">
        <v>106.76</v>
      </c>
      <c r="C22" s="15">
        <v>42558</v>
      </c>
    </row>
    <row r="23" spans="1:5">
      <c r="A23" s="46" t="s">
        <v>43</v>
      </c>
      <c r="B23" s="49">
        <v>107.98</v>
      </c>
      <c r="C23" s="47">
        <v>42613</v>
      </c>
    </row>
    <row r="24" spans="1:5">
      <c r="A24" s="46" t="s">
        <v>44</v>
      </c>
      <c r="B24" s="80">
        <v>109.56</v>
      </c>
      <c r="C24" s="81">
        <v>42613</v>
      </c>
    </row>
    <row r="25" spans="1:5">
      <c r="A25" s="46" t="s">
        <v>45</v>
      </c>
      <c r="B25" s="16" t="s">
        <v>81</v>
      </c>
      <c r="C25" s="15"/>
    </row>
    <row r="26" spans="1:5">
      <c r="A26" s="46"/>
      <c r="B26" s="49"/>
      <c r="C26" s="47"/>
    </row>
    <row r="27" spans="1:5">
      <c r="A27" s="46" t="s">
        <v>39</v>
      </c>
      <c r="B27" s="16" t="s">
        <v>81</v>
      </c>
      <c r="C27" s="15"/>
    </row>
    <row r="28" spans="1:5">
      <c r="A28" s="46" t="s">
        <v>40</v>
      </c>
      <c r="B28" s="16" t="s">
        <v>81</v>
      </c>
      <c r="C28" s="15"/>
    </row>
    <row r="29" spans="1:5">
      <c r="A29" s="46" t="s">
        <v>41</v>
      </c>
      <c r="B29" s="49">
        <v>109.35</v>
      </c>
      <c r="C29" s="47">
        <v>42613</v>
      </c>
      <c r="E29" s="72">
        <f>1.02*1.02-1</f>
        <v>4.0399999999999991E-2</v>
      </c>
    </row>
    <row r="30" spans="1:5">
      <c r="A30" s="46" t="s">
        <v>42</v>
      </c>
      <c r="B30" s="49">
        <v>109.42</v>
      </c>
      <c r="C30" s="47">
        <v>42613</v>
      </c>
    </row>
    <row r="31" spans="1:5">
      <c r="A31" s="46" t="s">
        <v>27</v>
      </c>
      <c r="B31" s="49">
        <v>107.83</v>
      </c>
      <c r="C31" s="47">
        <v>42613</v>
      </c>
    </row>
    <row r="32" spans="1:5" s="48" customFormat="1" ht="13">
      <c r="A32" s="46" t="s">
        <v>28</v>
      </c>
      <c r="B32" s="49">
        <v>107.89</v>
      </c>
      <c r="C32" s="47">
        <v>42613</v>
      </c>
    </row>
    <row r="33" spans="1:4" s="48" customFormat="1" ht="13">
      <c r="A33" s="14" t="s">
        <v>21</v>
      </c>
      <c r="B33" s="14">
        <v>106.76</v>
      </c>
      <c r="C33" s="47"/>
    </row>
    <row r="34" spans="1:4" s="48" customFormat="1" ht="13">
      <c r="A34" s="14" t="s">
        <v>23</v>
      </c>
      <c r="B34" s="16">
        <v>106.75</v>
      </c>
      <c r="C34" s="47"/>
    </row>
    <row r="35" spans="1:4">
      <c r="A35" s="14" t="s">
        <v>13</v>
      </c>
      <c r="B35" s="14">
        <v>105.23</v>
      </c>
      <c r="C35" s="15">
        <v>41948</v>
      </c>
    </row>
    <row r="36" spans="1:4" s="48" customFormat="1" ht="13">
      <c r="A36" s="14" t="s">
        <v>14</v>
      </c>
      <c r="B36" s="16">
        <v>105.54</v>
      </c>
      <c r="C36" s="15">
        <f>C35</f>
        <v>41948</v>
      </c>
    </row>
    <row r="37" spans="1:4">
      <c r="A37" s="14" t="s">
        <v>15</v>
      </c>
      <c r="B37" s="16">
        <v>103.42</v>
      </c>
      <c r="C37" s="15">
        <v>41894</v>
      </c>
    </row>
    <row r="38" spans="1:4">
      <c r="A38" s="14" t="s">
        <v>16</v>
      </c>
      <c r="B38" s="16">
        <v>103.55</v>
      </c>
      <c r="C38" s="15">
        <v>41894</v>
      </c>
    </row>
    <row r="39" spans="1:4">
      <c r="A39" s="14"/>
      <c r="B39" s="16"/>
      <c r="C39" s="15"/>
    </row>
    <row r="40" spans="1:4">
      <c r="A40" s="14" t="s">
        <v>17</v>
      </c>
      <c r="B40" s="15">
        <v>41912</v>
      </c>
      <c r="C40" s="15"/>
      <c r="D40" s="44" t="str">
        <f>TEXT(Mois_index_2018,"mmmm")</f>
        <v>octobre</v>
      </c>
    </row>
    <row r="41" spans="1:4" s="48" customFormat="1" ht="13">
      <c r="A41" s="14" t="s">
        <v>33</v>
      </c>
      <c r="B41" s="15">
        <v>42460</v>
      </c>
      <c r="C41" s="15"/>
      <c r="D41" s="14" t="s">
        <v>34</v>
      </c>
    </row>
    <row r="42" spans="1:4" s="48" customFormat="1" ht="13">
      <c r="A42" s="14" t="s">
        <v>82</v>
      </c>
      <c r="B42" s="127"/>
      <c r="C42" s="127"/>
      <c r="D42" s="14"/>
    </row>
    <row r="43" spans="1:4" s="48" customFormat="1" ht="13">
      <c r="A43" s="46" t="s">
        <v>57</v>
      </c>
      <c r="B43" s="15">
        <v>43159</v>
      </c>
      <c r="C43" s="15">
        <v>42769</v>
      </c>
      <c r="D43" s="57"/>
    </row>
    <row r="44" spans="1:4">
      <c r="A44" s="14" t="s">
        <v>24</v>
      </c>
      <c r="B44" s="56">
        <f>(1/B20*B24)</f>
        <v>1.0563054377169303</v>
      </c>
      <c r="C44" s="47"/>
    </row>
    <row r="45" spans="1:4">
      <c r="A45" t="s">
        <v>83</v>
      </c>
      <c r="B45">
        <f>1.02</f>
        <v>1.02</v>
      </c>
    </row>
    <row r="46" spans="1:4">
      <c r="B46" s="72">
        <f>B45-1</f>
        <v>2.0000000000000018E-2</v>
      </c>
    </row>
  </sheetData>
  <sheetProtection algorithmName="SHA-512" hashValue="5QydSEPP3q6YIYKcaiUqVnwI5Ecch8/99hXK3FEDU2adjBFZb5Y/0peb5evhtpSagNC7284mjlC4RUfrlyvVLA==" saltValue="p99yIYX8kVbLBG7B6b7wyQ==" spinCount="100000" sheet="1" objects="1" scenarios="1"/>
  <phoneticPr fontId="34"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1B133-E594-40FC-AD93-CE79683B2129}">
  <dimension ref="A1:G36"/>
  <sheetViews>
    <sheetView zoomScaleNormal="100" workbookViewId="0">
      <selection activeCell="F23" sqref="F23"/>
    </sheetView>
  </sheetViews>
  <sheetFormatPr baseColWidth="10" defaultColWidth="11.54296875" defaultRowHeight="12.5"/>
  <cols>
    <col min="1" max="1" width="12.6328125" style="98" customWidth="1"/>
    <col min="2" max="2" width="11.54296875" style="98"/>
    <col min="3" max="3" width="15.54296875" style="98" customWidth="1"/>
    <col min="4" max="4" width="11.54296875" style="98"/>
    <col min="5" max="5" width="15.36328125" style="98" customWidth="1"/>
    <col min="6" max="6" width="14.90625" style="98" bestFit="1" customWidth="1"/>
    <col min="7" max="7" width="18.81640625" style="98" bestFit="1" customWidth="1"/>
    <col min="8" max="16384" width="11.54296875" style="98"/>
  </cols>
  <sheetData>
    <row r="1" spans="1:7" ht="26.5" thickBot="1">
      <c r="A1" s="95" t="s">
        <v>89</v>
      </c>
      <c r="B1" s="96" t="s">
        <v>90</v>
      </c>
      <c r="C1" s="97" t="s">
        <v>91</v>
      </c>
    </row>
    <row r="2" spans="1:7">
      <c r="A2" s="249">
        <v>318</v>
      </c>
      <c r="B2" s="99" t="s">
        <v>92</v>
      </c>
      <c r="C2" s="100">
        <v>8.1411616259575437E-3</v>
      </c>
      <c r="E2" s="101" t="s">
        <v>93</v>
      </c>
    </row>
    <row r="3" spans="1:7">
      <c r="A3" s="250"/>
      <c r="B3" s="102" t="s">
        <v>94</v>
      </c>
      <c r="C3" s="103">
        <v>1.259680447401876E-2</v>
      </c>
    </row>
    <row r="4" spans="1:7">
      <c r="A4" s="250"/>
      <c r="B4" s="102"/>
      <c r="C4" s="103">
        <v>3.7352942944482476E-3</v>
      </c>
      <c r="F4" s="98" t="s">
        <v>95</v>
      </c>
      <c r="G4" s="98" t="s">
        <v>96</v>
      </c>
    </row>
    <row r="5" spans="1:7">
      <c r="A5" s="250"/>
      <c r="B5" s="102" t="s">
        <v>97</v>
      </c>
      <c r="C5" s="103">
        <v>1.2736210331458005E-2</v>
      </c>
      <c r="F5" s="114" t="s">
        <v>157</v>
      </c>
      <c r="G5" s="105">
        <v>1.0109999999999999</v>
      </c>
    </row>
    <row r="6" spans="1:7">
      <c r="A6" s="250"/>
      <c r="B6" s="106" t="s">
        <v>99</v>
      </c>
      <c r="C6" s="107">
        <v>1.2105184677758792E-2</v>
      </c>
      <c r="F6" s="104" t="s">
        <v>98</v>
      </c>
      <c r="G6" s="105">
        <f>1+C7</f>
        <v>1.0180574662209187</v>
      </c>
    </row>
    <row r="7" spans="1:7">
      <c r="A7" s="256"/>
      <c r="B7" s="102" t="s">
        <v>101</v>
      </c>
      <c r="C7" s="103">
        <v>1.8057466220918715E-2</v>
      </c>
      <c r="F7" s="104" t="s">
        <v>79</v>
      </c>
      <c r="G7" s="105">
        <f>1+C19</f>
        <v>1.0184305226694736</v>
      </c>
    </row>
    <row r="8" spans="1:7" ht="25">
      <c r="A8" s="256"/>
      <c r="B8" s="102" t="s">
        <v>103</v>
      </c>
      <c r="C8" s="103">
        <v>2.0140055578627164E-2</v>
      </c>
      <c r="F8" s="104" t="s">
        <v>100</v>
      </c>
      <c r="G8" s="105">
        <f>1+C38</f>
        <v>1</v>
      </c>
    </row>
    <row r="9" spans="1:7">
      <c r="A9" s="256"/>
      <c r="B9" s="102" t="s">
        <v>105</v>
      </c>
      <c r="C9" s="103">
        <v>1.5339679766743719E-2</v>
      </c>
      <c r="F9" s="104" t="s">
        <v>102</v>
      </c>
      <c r="G9" s="105">
        <f>1+C32</f>
        <v>1.0168472569056894</v>
      </c>
    </row>
    <row r="10" spans="1:7" ht="13.5" thickBot="1">
      <c r="A10" s="251" t="s">
        <v>106</v>
      </c>
      <c r="B10" s="252"/>
      <c r="C10" s="108">
        <v>1.2856482121241368E-2</v>
      </c>
      <c r="F10" s="104" t="s">
        <v>104</v>
      </c>
      <c r="G10" s="105">
        <v>1.0165446629548449</v>
      </c>
    </row>
    <row r="11" spans="1:7">
      <c r="A11" s="249" t="s">
        <v>107</v>
      </c>
      <c r="B11" s="109">
        <v>1</v>
      </c>
      <c r="C11" s="100">
        <v>7.6158729983914954E-3</v>
      </c>
    </row>
    <row r="12" spans="1:7">
      <c r="A12" s="250"/>
      <c r="B12" s="110">
        <v>2</v>
      </c>
      <c r="C12" s="103">
        <v>1.1913524042320361E-2</v>
      </c>
    </row>
    <row r="13" spans="1:7">
      <c r="A13" s="250"/>
      <c r="B13" s="111">
        <v>3</v>
      </c>
      <c r="C13" s="107">
        <v>1.6480549252085541E-2</v>
      </c>
    </row>
    <row r="14" spans="1:7">
      <c r="A14" s="250"/>
      <c r="B14" s="111" t="s">
        <v>108</v>
      </c>
      <c r="C14" s="107">
        <v>1.8698406411367333E-2</v>
      </c>
      <c r="D14" s="112">
        <f>SUM(C13:C15)/3</f>
        <v>1.654466295484483E-2</v>
      </c>
    </row>
    <row r="15" spans="1:7">
      <c r="A15" s="250"/>
      <c r="B15" s="111" t="s">
        <v>109</v>
      </c>
      <c r="C15" s="107">
        <v>1.4455033201081612E-2</v>
      </c>
    </row>
    <row r="16" spans="1:7">
      <c r="A16" s="256"/>
      <c r="B16" s="110">
        <v>5</v>
      </c>
      <c r="C16" s="103">
        <v>1.1747703344833053E-2</v>
      </c>
    </row>
    <row r="17" spans="1:3">
      <c r="A17" s="256"/>
      <c r="B17" s="110">
        <v>6</v>
      </c>
      <c r="C17" s="103">
        <v>1.4350278303481474E-2</v>
      </c>
    </row>
    <row r="18" spans="1:3" ht="13.5" thickBot="1">
      <c r="A18" s="251" t="s">
        <v>110</v>
      </c>
      <c r="B18" s="252"/>
      <c r="C18" s="108">
        <v>1.3608766793365838E-2</v>
      </c>
    </row>
    <row r="19" spans="1:3">
      <c r="A19" s="249">
        <v>332</v>
      </c>
      <c r="B19" s="109">
        <v>1</v>
      </c>
      <c r="C19" s="100">
        <v>1.8430522669473714E-2</v>
      </c>
    </row>
    <row r="20" spans="1:3">
      <c r="A20" s="250"/>
      <c r="B20" s="110">
        <v>2</v>
      </c>
      <c r="C20" s="103">
        <v>1.715700718989048E-2</v>
      </c>
    </row>
    <row r="21" spans="1:3">
      <c r="A21" s="250"/>
      <c r="B21" s="111">
        <v>3</v>
      </c>
      <c r="C21" s="107">
        <v>1.1022674325635978E-2</v>
      </c>
    </row>
    <row r="22" spans="1:3">
      <c r="A22" s="250"/>
      <c r="B22" s="110">
        <v>4</v>
      </c>
      <c r="C22" s="103">
        <v>1.8422544740453576E-2</v>
      </c>
    </row>
    <row r="23" spans="1:3">
      <c r="A23" s="250"/>
      <c r="B23" s="110">
        <v>5</v>
      </c>
      <c r="C23" s="103">
        <v>7.1052499562608241E-3</v>
      </c>
    </row>
    <row r="24" spans="1:3">
      <c r="A24" s="256"/>
      <c r="B24" s="110">
        <v>6</v>
      </c>
      <c r="C24" s="103">
        <v>1.1371340882935128E-2</v>
      </c>
    </row>
    <row r="25" spans="1:3">
      <c r="A25" s="256"/>
      <c r="B25" s="110">
        <v>7</v>
      </c>
      <c r="C25" s="103">
        <v>1.7094519808304811E-2</v>
      </c>
    </row>
    <row r="26" spans="1:3" ht="13.5" thickBot="1">
      <c r="A26" s="251" t="s">
        <v>111</v>
      </c>
      <c r="B26" s="252"/>
      <c r="C26" s="108">
        <v>1.4371979938993504E-2</v>
      </c>
    </row>
    <row r="27" spans="1:3">
      <c r="A27" s="249" t="s">
        <v>112</v>
      </c>
      <c r="B27" s="111">
        <v>6</v>
      </c>
      <c r="C27" s="107">
        <v>1.2736282153009124E-2</v>
      </c>
    </row>
    <row r="28" spans="1:3">
      <c r="A28" s="250"/>
      <c r="B28" s="111">
        <v>13</v>
      </c>
      <c r="C28" s="107">
        <v>1.9072255843213828E-2</v>
      </c>
    </row>
    <row r="29" spans="1:3">
      <c r="A29" s="250"/>
      <c r="B29" s="111">
        <v>18.190000000000001</v>
      </c>
      <c r="C29" s="107">
        <v>2.1631847879186403E-2</v>
      </c>
    </row>
    <row r="30" spans="1:3" ht="13.5" thickBot="1">
      <c r="A30" s="251" t="s">
        <v>113</v>
      </c>
      <c r="B30" s="252"/>
      <c r="C30" s="108">
        <v>1.7813461958469782E-2</v>
      </c>
    </row>
    <row r="31" spans="1:3">
      <c r="A31" s="253" t="s">
        <v>114</v>
      </c>
      <c r="B31" s="111">
        <v>1</v>
      </c>
      <c r="C31" s="107">
        <v>1.8309310935595329E-2</v>
      </c>
    </row>
    <row r="32" spans="1:3">
      <c r="A32" s="254"/>
      <c r="B32" s="111" t="s">
        <v>115</v>
      </c>
      <c r="C32" s="107">
        <v>1.6847256905689379E-2</v>
      </c>
    </row>
    <row r="33" spans="1:3">
      <c r="A33" s="254"/>
      <c r="B33" s="111" t="s">
        <v>116</v>
      </c>
      <c r="C33" s="107">
        <v>1.1394455875383964E-2</v>
      </c>
    </row>
    <row r="34" spans="1:3">
      <c r="A34" s="255"/>
      <c r="B34" s="111">
        <v>6</v>
      </c>
      <c r="C34" s="107">
        <v>2.0675375862669758E-2</v>
      </c>
    </row>
    <row r="35" spans="1:3">
      <c r="A35" s="255"/>
      <c r="B35" s="111">
        <v>11</v>
      </c>
      <c r="C35" s="107">
        <v>1.2020922924200509E-2</v>
      </c>
    </row>
    <row r="36" spans="1:3" ht="13.5" thickBot="1">
      <c r="A36" s="251" t="s">
        <v>117</v>
      </c>
      <c r="B36" s="252"/>
      <c r="C36" s="108">
        <v>1.5849464500707788E-2</v>
      </c>
    </row>
  </sheetData>
  <sheetProtection algorithmName="SHA-512" hashValue="8HP26s+yU1yPJCmxM29DdPSPVA6LfA0lyMcyilAYk4/hy5xw0gZfJVLHaPWk7schBF7uV/umZoOKK8mSHqy0bQ==" saltValue="6poUmodohupvp/CcD5/DXw==" spinCount="100000" sheet="1" objects="1" scenarios="1"/>
  <autoFilter ref="F4:G10" xr:uid="{A8B21AB0-CFC3-4AE4-9270-8D3BF80E03CF}"/>
  <sortState xmlns:xlrd2="http://schemas.microsoft.com/office/spreadsheetml/2017/richdata2" ref="F5:G10">
    <sortCondition ref="F5:F10"/>
  </sortState>
  <mergeCells count="10">
    <mergeCell ref="A27:A29"/>
    <mergeCell ref="A30:B30"/>
    <mergeCell ref="A31:A35"/>
    <mergeCell ref="A36:B36"/>
    <mergeCell ref="A2:A9"/>
    <mergeCell ref="A10:B10"/>
    <mergeCell ref="A11:A17"/>
    <mergeCell ref="A18:B18"/>
    <mergeCell ref="A19:A25"/>
    <mergeCell ref="A26:B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5A15A893EE1846BEF3331C56E7A695" ma:contentTypeVersion="12" ma:contentTypeDescription="Crée un document." ma:contentTypeScope="" ma:versionID="6fce27d6214f57e540bf185579327421">
  <xsd:schema xmlns:xsd="http://www.w3.org/2001/XMLSchema" xmlns:xs="http://www.w3.org/2001/XMLSchema" xmlns:p="http://schemas.microsoft.com/office/2006/metadata/properties" xmlns:ns3="a03d9948-4d15-4040-97a2-0442ec22f262" xmlns:ns4="1d081652-518f-4efd-a5fc-3a2ed87aafaa" targetNamespace="http://schemas.microsoft.com/office/2006/metadata/properties" ma:root="true" ma:fieldsID="6df365599e8eb1ec392a440f60bbea05" ns3:_="" ns4:_="">
    <xsd:import namespace="a03d9948-4d15-4040-97a2-0442ec22f262"/>
    <xsd:import namespace="1d081652-518f-4efd-a5fc-3a2ed87aafa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d9948-4d15-4040-97a2-0442ec22f2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081652-518f-4efd-a5fc-3a2ed87aafaa"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SharingHintHash" ma:index="14"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D35986-BD4C-4C19-9149-E5FB03C880E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03d9948-4d15-4040-97a2-0442ec22f262"/>
    <ds:schemaRef ds:uri="http://purl.org/dc/elements/1.1/"/>
    <ds:schemaRef ds:uri="http://schemas.microsoft.com/office/2006/metadata/properties"/>
    <ds:schemaRef ds:uri="1d081652-518f-4efd-a5fc-3a2ed87aafaa"/>
    <ds:schemaRef ds:uri="http://www.w3.org/XML/1998/namespace"/>
    <ds:schemaRef ds:uri="http://purl.org/dc/dcmitype/"/>
  </ds:schemaRefs>
</ds:datastoreItem>
</file>

<file path=customXml/itemProps2.xml><?xml version="1.0" encoding="utf-8"?>
<ds:datastoreItem xmlns:ds="http://schemas.openxmlformats.org/officeDocument/2006/customXml" ds:itemID="{811458E0-B84D-4CDE-BF2D-ABCECA4DF3EB}">
  <ds:schemaRefs>
    <ds:schemaRef ds:uri="http://schemas.microsoft.com/sharepoint/v3/contenttype/forms"/>
  </ds:schemaRefs>
</ds:datastoreItem>
</file>

<file path=customXml/itemProps3.xml><?xml version="1.0" encoding="utf-8"?>
<ds:datastoreItem xmlns:ds="http://schemas.openxmlformats.org/officeDocument/2006/customXml" ds:itemID="{F84DB21E-2F06-4645-AC46-69DED13711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d9948-4d15-4040-97a2-0442ec22f262"/>
    <ds:schemaRef ds:uri="1d081652-518f-4efd-a5fc-3a2ed87aaf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23</vt:i4>
      </vt:variant>
    </vt:vector>
  </HeadingPairs>
  <TitlesOfParts>
    <vt:vector size="29" baseType="lpstr">
      <vt:lpstr>Instructions</vt:lpstr>
      <vt:lpstr>Données FOREm &amp; Simul. UNIPSO</vt:lpstr>
      <vt:lpstr>Simulateur UNIPSO</vt:lpstr>
      <vt:lpstr>Indexation</vt:lpstr>
      <vt:lpstr>Variables M</vt:lpstr>
      <vt:lpstr>Evolutions barémique</vt:lpstr>
      <vt:lpstr>'Variables M'!Coeff_index</vt:lpstr>
      <vt:lpstr>Coeff_index</vt:lpstr>
      <vt:lpstr>Coefficient_indexation_2020_2021</vt:lpstr>
      <vt:lpstr>'Variables M'!Depassement</vt:lpstr>
      <vt:lpstr>'Variables M'!Index_vers_2020</vt:lpstr>
      <vt:lpstr>'Variables M'!Mois_index_2018</vt:lpstr>
      <vt:lpstr>Mois_index_2020</vt:lpstr>
      <vt:lpstr>'Variables M'!Point_2017</vt:lpstr>
      <vt:lpstr>Point_2017</vt:lpstr>
      <vt:lpstr>'Variables M'!Point_2018</vt:lpstr>
      <vt:lpstr>Point_2018</vt:lpstr>
      <vt:lpstr>'Variables M'!Point_2019</vt:lpstr>
      <vt:lpstr>Point_2019</vt:lpstr>
      <vt:lpstr>'Variables M'!Point_2019_est</vt:lpstr>
      <vt:lpstr>'Variables M'!Point_2020</vt:lpstr>
      <vt:lpstr>Point_2020</vt:lpstr>
      <vt:lpstr>Point_2021</vt:lpstr>
      <vt:lpstr>Point_2022</vt:lpstr>
      <vt:lpstr>'Variables M'!Point_moyen</vt:lpstr>
      <vt:lpstr>'Variables M'!Tx_moyen_dérive_baremique</vt:lpstr>
      <vt:lpstr>Tx_moyen_dérive_baremique</vt:lpstr>
      <vt:lpstr>TxSubSPS</vt:lpstr>
      <vt:lpstr>VarG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de Poorter</dc:creator>
  <cp:lastModifiedBy>UNIPSO</cp:lastModifiedBy>
  <cp:lastPrinted>2018-05-19T16:34:34Z</cp:lastPrinted>
  <dcterms:created xsi:type="dcterms:W3CDTF">2018-05-02T17:16:57Z</dcterms:created>
  <dcterms:modified xsi:type="dcterms:W3CDTF">2021-02-08T13:23:42Z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0x010100F65A15A893EE1846BEF3331C56E7A695</vt:lpwstr>
  </property>
</Properties>
</file>